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92" yWindow="60" windowWidth="19020" windowHeight="11316"/>
  </bookViews>
  <sheets>
    <sheet name="PJ Calc" sheetId="1" r:id="rId1"/>
    <sheet name="Contrast" sheetId="18" r:id="rId2"/>
    <sheet name="Ohms Law" sheetId="2" r:id="rId3"/>
    <sheet name="Ceiling Spkr" sheetId="4" r:id="rId4"/>
    <sheet name="Z Values" sheetId="3" r:id="rId5"/>
    <sheet name="Wavelength" sheetId="6" r:id="rId6"/>
    <sheet name="Room Mode" sheetId="11" r:id="rId7"/>
    <sheet name="RT60" sheetId="12" r:id="rId8"/>
    <sheet name="Decibels" sheetId="5" r:id="rId9"/>
    <sheet name="Lens" sheetId="7" r:id="rId10"/>
    <sheet name="Conduit" sheetId="8" r:id="rId11"/>
    <sheet name="Cable" sheetId="9" r:id="rId12"/>
    <sheet name="Encoding" sheetId="10" r:id="rId13"/>
    <sheet name="ACU" sheetId="14" r:id="rId14"/>
    <sheet name="EPR" sheetId="16" r:id="rId15"/>
    <sheet name="Pads" sheetId="17" r:id="rId16"/>
  </sheets>
  <externalReferences>
    <externalReference r:id="rId17"/>
  </externalReferences>
  <definedNames>
    <definedName name="Co_table" localSheetId="14">[1]RT60!$F$6:$M$58</definedName>
    <definedName name="Co_table">'RT60'!$F$6:$M$58</definedName>
    <definedName name="_xlnm.Print_Area" localSheetId="11">Cable!$A$1:$E$21</definedName>
    <definedName name="_xlnm.Print_Area" localSheetId="3">'Ceiling Spkr'!$A$1:$H$17</definedName>
    <definedName name="_xlnm.Print_Area" localSheetId="10">Conduit!$A$1:$F$29</definedName>
    <definedName name="_xlnm.Print_Area" localSheetId="8">Decibels!$A$21:$I$55</definedName>
    <definedName name="_xlnm.Print_Area" localSheetId="9">Lens!$A$1:$I$65</definedName>
    <definedName name="_xlnm.Print_Area" localSheetId="2">'Ohms Law'!$A$1:$E$20</definedName>
    <definedName name="_xlnm.Print_Area" localSheetId="0">'PJ Calc'!$A$1:$K$87</definedName>
    <definedName name="_xlnm.Print_Area" localSheetId="6">'Room Mode'!$A$1:$P$136</definedName>
    <definedName name="_xlnm.Print_Area" localSheetId="7">'RT60'!$A$1:$E$48</definedName>
    <definedName name="_xlnm.Print_Area" localSheetId="5">Wavelength!$A$1:$H$29</definedName>
  </definedNames>
  <calcPr calcId="145621"/>
</workbook>
</file>

<file path=xl/calcChain.xml><?xml version="1.0" encoding="utf-8"?>
<calcChain xmlns="http://schemas.openxmlformats.org/spreadsheetml/2006/main">
  <c r="B83" i="1" l="1"/>
  <c r="B9" i="7" l="1"/>
  <c r="B10" i="7" s="1"/>
  <c r="B11" i="7"/>
  <c r="B12" i="7" s="1"/>
  <c r="K18" i="18" l="1"/>
  <c r="B17" i="18"/>
  <c r="C17" i="18"/>
  <c r="J17" i="18"/>
  <c r="K19" i="18" s="1"/>
  <c r="K17" i="18"/>
  <c r="F25" i="18"/>
  <c r="G27" i="18" s="1"/>
  <c r="G25" i="18"/>
  <c r="B32" i="18"/>
  <c r="C34" i="18" s="1"/>
  <c r="C32" i="18"/>
  <c r="J32" i="18"/>
  <c r="K33" i="18" s="1"/>
  <c r="K32" i="18"/>
  <c r="C33" i="18" l="1"/>
  <c r="K34" i="18"/>
  <c r="D5" i="18"/>
  <c r="D4" i="18" s="1"/>
  <c r="G26" i="18"/>
  <c r="C18" i="18"/>
  <c r="C19" i="18"/>
  <c r="D17" i="4"/>
  <c r="E48" i="1" l="1"/>
  <c r="B49" i="1"/>
  <c r="D36" i="1"/>
  <c r="D37" i="4"/>
  <c r="D36" i="4"/>
  <c r="D35" i="4"/>
  <c r="D34" i="4"/>
  <c r="D33" i="4"/>
  <c r="D39" i="4" s="1"/>
  <c r="D27" i="4"/>
  <c r="D26" i="4"/>
  <c r="B79" i="1"/>
  <c r="B85" i="1"/>
  <c r="A22" i="17"/>
  <c r="A32" i="17" s="1"/>
  <c r="A14" i="17"/>
  <c r="A13" i="17"/>
  <c r="A15" i="17"/>
  <c r="A10" i="17"/>
  <c r="A9" i="17"/>
  <c r="A8" i="17"/>
  <c r="K59" i="16"/>
  <c r="F59" i="16"/>
  <c r="A59" i="16"/>
  <c r="A62" i="16"/>
  <c r="A63" i="16" s="1"/>
  <c r="A64" i="16" s="1"/>
  <c r="A56" i="16"/>
  <c r="K52" i="16"/>
  <c r="K56" i="16" s="1"/>
  <c r="F52" i="16"/>
  <c r="F56" i="16" s="1"/>
  <c r="A41" i="16"/>
  <c r="A42" i="16" s="1"/>
  <c r="A43" i="16" s="1"/>
  <c r="A32" i="16"/>
  <c r="A34" i="16" s="1"/>
  <c r="A30" i="16"/>
  <c r="A29" i="16"/>
  <c r="A33" i="16" s="1"/>
  <c r="I20" i="16"/>
  <c r="I21" i="16" s="1"/>
  <c r="I22" i="16" s="1"/>
  <c r="A20" i="16"/>
  <c r="A21" i="16"/>
  <c r="A22" i="16" s="1"/>
  <c r="I9" i="16"/>
  <c r="A9" i="16"/>
  <c r="C34" i="8"/>
  <c r="D34" i="8" s="1"/>
  <c r="C20" i="8"/>
  <c r="D20" i="8" s="1"/>
  <c r="I37" i="14"/>
  <c r="I38" i="14" s="1"/>
  <c r="C38" i="14"/>
  <c r="D38" i="14"/>
  <c r="E38" i="14"/>
  <c r="F38" i="14"/>
  <c r="G38" i="14"/>
  <c r="B38" i="14"/>
  <c r="I36" i="14"/>
  <c r="I35" i="14"/>
  <c r="I8" i="14"/>
  <c r="I9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32" i="14"/>
  <c r="I33" i="14"/>
  <c r="I34" i="14"/>
  <c r="I7" i="14"/>
  <c r="C36" i="14"/>
  <c r="D36" i="14"/>
  <c r="E36" i="14"/>
  <c r="F36" i="14"/>
  <c r="G36" i="14"/>
  <c r="B36" i="14"/>
  <c r="C35" i="14"/>
  <c r="D35" i="14"/>
  <c r="E35" i="14"/>
  <c r="F35" i="14"/>
  <c r="G35" i="14"/>
  <c r="B35" i="14"/>
  <c r="C6" i="14"/>
  <c r="D6" i="14"/>
  <c r="E6" i="14"/>
  <c r="F6" i="14"/>
  <c r="G6" i="14"/>
  <c r="B6" i="14"/>
  <c r="A40" i="12"/>
  <c r="A48" i="12"/>
  <c r="A28" i="12"/>
  <c r="A16" i="12"/>
  <c r="A24" i="12"/>
  <c r="A7" i="12"/>
  <c r="A6" i="12"/>
  <c r="A12" i="12" s="1"/>
  <c r="M63" i="12"/>
  <c r="M90" i="12" s="1"/>
  <c r="M67" i="12"/>
  <c r="M94" i="12" s="1"/>
  <c r="M71" i="12"/>
  <c r="M79" i="12"/>
  <c r="M106" i="12" s="1"/>
  <c r="M75" i="12"/>
  <c r="M102" i="12"/>
  <c r="M83" i="12"/>
  <c r="M110" i="12" s="1"/>
  <c r="M76" i="12"/>
  <c r="M103" i="12"/>
  <c r="M84" i="12"/>
  <c r="M111" i="12" s="1"/>
  <c r="M85" i="12"/>
  <c r="M112" i="12"/>
  <c r="M64" i="12"/>
  <c r="M91" i="12" s="1"/>
  <c r="M65" i="12"/>
  <c r="M92" i="12"/>
  <c r="M66" i="12"/>
  <c r="M93" i="12" s="1"/>
  <c r="M68" i="12"/>
  <c r="M95" i="12"/>
  <c r="M69" i="12"/>
  <c r="M96" i="12" s="1"/>
  <c r="M70" i="12"/>
  <c r="M97" i="12"/>
  <c r="M72" i="12"/>
  <c r="M99" i="12" s="1"/>
  <c r="M73" i="12"/>
  <c r="M100" i="12"/>
  <c r="M74" i="12"/>
  <c r="M101" i="12" s="1"/>
  <c r="M77" i="12"/>
  <c r="M104" i="12"/>
  <c r="M78" i="12"/>
  <c r="M105" i="12" s="1"/>
  <c r="M80" i="12"/>
  <c r="M107" i="12" s="1"/>
  <c r="M81" i="12"/>
  <c r="M108" i="12" s="1"/>
  <c r="M82" i="12"/>
  <c r="M109" i="12"/>
  <c r="M86" i="12"/>
  <c r="M113" i="12" s="1"/>
  <c r="L63" i="12"/>
  <c r="L90" i="12" s="1"/>
  <c r="L67" i="12"/>
  <c r="L94" i="12" s="1"/>
  <c r="L71" i="12"/>
  <c r="L79" i="12"/>
  <c r="L106" i="12"/>
  <c r="L75" i="12"/>
  <c r="L102" i="12"/>
  <c r="L83" i="12"/>
  <c r="L110" i="12"/>
  <c r="L76" i="12"/>
  <c r="L103" i="12"/>
  <c r="L84" i="12"/>
  <c r="L111" i="12"/>
  <c r="L85" i="12"/>
  <c r="L112" i="12"/>
  <c r="L64" i="12"/>
  <c r="L91" i="12"/>
  <c r="L65" i="12"/>
  <c r="L92" i="12"/>
  <c r="L66" i="12"/>
  <c r="L93" i="12"/>
  <c r="L68" i="12"/>
  <c r="L95" i="12"/>
  <c r="L69" i="12"/>
  <c r="L96" i="12"/>
  <c r="L70" i="12"/>
  <c r="L97" i="12"/>
  <c r="L72" i="12"/>
  <c r="L99" i="12"/>
  <c r="L73" i="12"/>
  <c r="L100" i="12"/>
  <c r="L74" i="12"/>
  <c r="L101" i="12"/>
  <c r="L77" i="12"/>
  <c r="L104" i="12"/>
  <c r="L78" i="12"/>
  <c r="L105" i="12"/>
  <c r="L80" i="12"/>
  <c r="L107" i="12"/>
  <c r="L81" i="12"/>
  <c r="L108" i="12"/>
  <c r="L82" i="12"/>
  <c r="L109" i="12"/>
  <c r="L86" i="12"/>
  <c r="L113" i="12"/>
  <c r="K63" i="12"/>
  <c r="K90" i="12" s="1"/>
  <c r="K67" i="12"/>
  <c r="K94" i="12"/>
  <c r="K71" i="12"/>
  <c r="K79" i="12"/>
  <c r="K106" i="12" s="1"/>
  <c r="K75" i="12"/>
  <c r="K102" i="12" s="1"/>
  <c r="K83" i="12"/>
  <c r="K110" i="12" s="1"/>
  <c r="K76" i="12"/>
  <c r="K103" i="12" s="1"/>
  <c r="K84" i="12"/>
  <c r="K111" i="12" s="1"/>
  <c r="K85" i="12"/>
  <c r="K112" i="12" s="1"/>
  <c r="K64" i="12"/>
  <c r="K91" i="12" s="1"/>
  <c r="K65" i="12"/>
  <c r="K92" i="12" s="1"/>
  <c r="K66" i="12"/>
  <c r="K93" i="12" s="1"/>
  <c r="K68" i="12"/>
  <c r="K95" i="12" s="1"/>
  <c r="K69" i="12"/>
  <c r="K96" i="12" s="1"/>
  <c r="K70" i="12"/>
  <c r="K97" i="12" s="1"/>
  <c r="K72" i="12"/>
  <c r="K99" i="12" s="1"/>
  <c r="K73" i="12"/>
  <c r="K100" i="12" s="1"/>
  <c r="K74" i="12"/>
  <c r="K101" i="12" s="1"/>
  <c r="K77" i="12"/>
  <c r="K104" i="12" s="1"/>
  <c r="K78" i="12"/>
  <c r="K105" i="12" s="1"/>
  <c r="K80" i="12"/>
  <c r="K107" i="12" s="1"/>
  <c r="K81" i="12"/>
  <c r="K108" i="12" s="1"/>
  <c r="K82" i="12"/>
  <c r="K109" i="12" s="1"/>
  <c r="K86" i="12"/>
  <c r="K113" i="12" s="1"/>
  <c r="J63" i="12"/>
  <c r="J90" i="12" s="1"/>
  <c r="J67" i="12"/>
  <c r="J94" i="12"/>
  <c r="J71" i="12"/>
  <c r="J79" i="12"/>
  <c r="J106" i="12" s="1"/>
  <c r="J75" i="12"/>
  <c r="J102" i="12" s="1"/>
  <c r="J83" i="12"/>
  <c r="J110" i="12"/>
  <c r="J76" i="12"/>
  <c r="J103" i="12" s="1"/>
  <c r="J84" i="12"/>
  <c r="J111" i="12" s="1"/>
  <c r="J85" i="12"/>
  <c r="J112" i="12" s="1"/>
  <c r="J64" i="12"/>
  <c r="J91" i="12"/>
  <c r="J65" i="12"/>
  <c r="J92" i="12" s="1"/>
  <c r="J66" i="12"/>
  <c r="J93" i="12" s="1"/>
  <c r="J68" i="12"/>
  <c r="J95" i="12" s="1"/>
  <c r="J69" i="12"/>
  <c r="J96" i="12"/>
  <c r="J70" i="12"/>
  <c r="J97" i="12" s="1"/>
  <c r="J72" i="12"/>
  <c r="J99" i="12" s="1"/>
  <c r="J73" i="12"/>
  <c r="J100" i="12" s="1"/>
  <c r="J74" i="12"/>
  <c r="J101" i="12"/>
  <c r="J77" i="12"/>
  <c r="J104" i="12" s="1"/>
  <c r="J78" i="12"/>
  <c r="J105" i="12" s="1"/>
  <c r="J80" i="12"/>
  <c r="J107" i="12" s="1"/>
  <c r="J81" i="12"/>
  <c r="J108" i="12"/>
  <c r="J82" i="12"/>
  <c r="J109" i="12" s="1"/>
  <c r="J86" i="12"/>
  <c r="J113" i="12" s="1"/>
  <c r="I63" i="12"/>
  <c r="I90" i="12" s="1"/>
  <c r="I67" i="12"/>
  <c r="I94" i="12"/>
  <c r="I71" i="12"/>
  <c r="I79" i="12"/>
  <c r="I106" i="12" s="1"/>
  <c r="I75" i="12"/>
  <c r="I102" i="12" s="1"/>
  <c r="I83" i="12"/>
  <c r="I110" i="12"/>
  <c r="I76" i="12"/>
  <c r="I103" i="12" s="1"/>
  <c r="I84" i="12"/>
  <c r="I111" i="12" s="1"/>
  <c r="I85" i="12"/>
  <c r="I112" i="12" s="1"/>
  <c r="I64" i="12"/>
  <c r="I91" i="12"/>
  <c r="I65" i="12"/>
  <c r="I92" i="12" s="1"/>
  <c r="I66" i="12"/>
  <c r="I93" i="12" s="1"/>
  <c r="I68" i="12"/>
  <c r="I95" i="12" s="1"/>
  <c r="I69" i="12"/>
  <c r="I96" i="12"/>
  <c r="I70" i="12"/>
  <c r="I97" i="12" s="1"/>
  <c r="I72" i="12"/>
  <c r="I99" i="12" s="1"/>
  <c r="I73" i="12"/>
  <c r="I100" i="12" s="1"/>
  <c r="I74" i="12"/>
  <c r="I101" i="12"/>
  <c r="I77" i="12"/>
  <c r="I104" i="12" s="1"/>
  <c r="I78" i="12"/>
  <c r="I105" i="12" s="1"/>
  <c r="I80" i="12"/>
  <c r="I107" i="12" s="1"/>
  <c r="I81" i="12"/>
  <c r="I108" i="12"/>
  <c r="I82" i="12"/>
  <c r="I109" i="12" s="1"/>
  <c r="I86" i="12"/>
  <c r="I113" i="12" s="1"/>
  <c r="H63" i="12"/>
  <c r="H90" i="12" s="1"/>
  <c r="H67" i="12"/>
  <c r="H94" i="12"/>
  <c r="H71" i="12"/>
  <c r="H79" i="12"/>
  <c r="H106" i="12" s="1"/>
  <c r="H75" i="12"/>
  <c r="H102" i="12" s="1"/>
  <c r="H83" i="12"/>
  <c r="H110" i="12"/>
  <c r="H76" i="12"/>
  <c r="H103" i="12" s="1"/>
  <c r="H84" i="12"/>
  <c r="H111" i="12" s="1"/>
  <c r="H85" i="12"/>
  <c r="H112" i="12" s="1"/>
  <c r="H64" i="12"/>
  <c r="H91" i="12"/>
  <c r="H65" i="12"/>
  <c r="H92" i="12" s="1"/>
  <c r="H66" i="12"/>
  <c r="H93" i="12" s="1"/>
  <c r="H68" i="12"/>
  <c r="H95" i="12" s="1"/>
  <c r="H69" i="12"/>
  <c r="H96" i="12"/>
  <c r="H70" i="12"/>
  <c r="H97" i="12" s="1"/>
  <c r="H72" i="12"/>
  <c r="H99" i="12" s="1"/>
  <c r="H73" i="12"/>
  <c r="H100" i="12" s="1"/>
  <c r="H74" i="12"/>
  <c r="H101" i="12"/>
  <c r="H77" i="12"/>
  <c r="H104" i="12" s="1"/>
  <c r="H78" i="12"/>
  <c r="H105" i="12" s="1"/>
  <c r="H80" i="12"/>
  <c r="H107" i="12" s="1"/>
  <c r="H81" i="12"/>
  <c r="H108" i="12"/>
  <c r="H82" i="12"/>
  <c r="H109" i="12" s="1"/>
  <c r="H86" i="12"/>
  <c r="H113" i="12" s="1"/>
  <c r="C24" i="12"/>
  <c r="C36" i="12"/>
  <c r="C48" i="12"/>
  <c r="G86" i="12"/>
  <c r="G85" i="12"/>
  <c r="G84" i="12"/>
  <c r="G83" i="12"/>
  <c r="G82" i="12"/>
  <c r="G81" i="12"/>
  <c r="G80" i="12"/>
  <c r="G79" i="12"/>
  <c r="G78" i="12"/>
  <c r="G77" i="12"/>
  <c r="G76" i="12"/>
  <c r="G75" i="12"/>
  <c r="G74" i="12"/>
  <c r="G72" i="12"/>
  <c r="G71" i="12"/>
  <c r="G70" i="12"/>
  <c r="G69" i="12"/>
  <c r="G68" i="12"/>
  <c r="G67" i="12"/>
  <c r="G73" i="12"/>
  <c r="G65" i="12"/>
  <c r="G66" i="12"/>
  <c r="G64" i="12"/>
  <c r="G63" i="12"/>
  <c r="B40" i="5"/>
  <c r="B42" i="5"/>
  <c r="B41" i="5"/>
  <c r="A33" i="3"/>
  <c r="A34" i="3" s="1"/>
  <c r="A35" i="3"/>
  <c r="C4" i="6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" i="11"/>
  <c r="A9" i="11"/>
  <c r="A8" i="11"/>
  <c r="A7" i="11"/>
  <c r="G28" i="6"/>
  <c r="A21" i="10"/>
  <c r="A8" i="10"/>
  <c r="A43" i="10"/>
  <c r="A26" i="10"/>
  <c r="A30" i="10" s="1"/>
  <c r="A31" i="10" s="1"/>
  <c r="A32" i="10" s="1"/>
  <c r="A22" i="10"/>
  <c r="A9" i="10"/>
  <c r="A10" i="10" s="1"/>
  <c r="A26" i="3"/>
  <c r="C7" i="3"/>
  <c r="F7" i="3" s="1"/>
  <c r="F15" i="3" s="1"/>
  <c r="C8" i="3"/>
  <c r="C9" i="3"/>
  <c r="C10" i="3"/>
  <c r="C11" i="3"/>
  <c r="C12" i="3"/>
  <c r="C13" i="3"/>
  <c r="C14" i="3"/>
  <c r="C15" i="3"/>
  <c r="C16" i="3"/>
  <c r="C17" i="3"/>
  <c r="C18" i="3"/>
  <c r="A25" i="3"/>
  <c r="B29" i="7"/>
  <c r="C45" i="7" s="1"/>
  <c r="B44" i="7"/>
  <c r="B20" i="7"/>
  <c r="F20" i="7" s="1"/>
  <c r="C43" i="7"/>
  <c r="D45" i="7"/>
  <c r="C44" i="7"/>
  <c r="B43" i="7"/>
  <c r="A21" i="9"/>
  <c r="A32" i="9"/>
  <c r="A33" i="9"/>
  <c r="A34" i="9"/>
  <c r="A35" i="9"/>
  <c r="A42" i="9"/>
  <c r="A43" i="9"/>
  <c r="F18" i="7"/>
  <c r="B21" i="7"/>
  <c r="F21" i="7" s="1"/>
  <c r="B22" i="7"/>
  <c r="B23" i="7"/>
  <c r="B37" i="7"/>
  <c r="C37" i="7"/>
  <c r="D37" i="7"/>
  <c r="B38" i="7"/>
  <c r="C38" i="7"/>
  <c r="D38" i="7"/>
  <c r="B39" i="7"/>
  <c r="C39" i="7"/>
  <c r="D39" i="7"/>
  <c r="B6" i="5"/>
  <c r="H6" i="5"/>
  <c r="B12" i="5"/>
  <c r="H12" i="5"/>
  <c r="B18" i="5"/>
  <c r="H18" i="5"/>
  <c r="B24" i="5"/>
  <c r="G24" i="5"/>
  <c r="B34" i="5"/>
  <c r="B35" i="5" s="1"/>
  <c r="B53" i="5"/>
  <c r="B55" i="5" s="1"/>
  <c r="C55" i="5" s="1"/>
  <c r="B54" i="5"/>
  <c r="B4" i="6"/>
  <c r="D4" i="6"/>
  <c r="F5" i="6"/>
  <c r="B7" i="6"/>
  <c r="B10" i="6"/>
  <c r="F11" i="6"/>
  <c r="F12" i="6"/>
  <c r="B13" i="6"/>
  <c r="A19" i="6"/>
  <c r="F19" i="6"/>
  <c r="A26" i="6"/>
  <c r="A27" i="6" s="1"/>
  <c r="A28" i="6" s="1"/>
  <c r="A29" i="6" s="1"/>
  <c r="D9" i="4"/>
  <c r="D21" i="4" s="1"/>
  <c r="D11" i="4"/>
  <c r="D12" i="4"/>
  <c r="E4" i="2"/>
  <c r="E5" i="2"/>
  <c r="E7" i="2"/>
  <c r="E8" i="2"/>
  <c r="E10" i="2"/>
  <c r="E11" i="2"/>
  <c r="E13" i="2"/>
  <c r="E14" i="2"/>
  <c r="E16" i="2"/>
  <c r="E17" i="2"/>
  <c r="E19" i="2"/>
  <c r="E20" i="2"/>
  <c r="D20" i="1"/>
  <c r="D24" i="1" s="1"/>
  <c r="I20" i="1"/>
  <c r="I24" i="1" s="1"/>
  <c r="I21" i="1"/>
  <c r="I25" i="1" s="1"/>
  <c r="I35" i="1"/>
  <c r="J35" i="1"/>
  <c r="K35" i="1"/>
  <c r="I36" i="1"/>
  <c r="J36" i="1"/>
  <c r="K36" i="1"/>
  <c r="I37" i="1"/>
  <c r="J37" i="1"/>
  <c r="K37" i="1"/>
  <c r="I40" i="1"/>
  <c r="F41" i="1"/>
  <c r="C42" i="1"/>
  <c r="B46" i="1"/>
  <c r="E46" i="1"/>
  <c r="B53" i="1"/>
  <c r="F53" i="1"/>
  <c r="B58" i="1"/>
  <c r="G58" i="1"/>
  <c r="B59" i="1"/>
  <c r="G59" i="1"/>
  <c r="B60" i="1"/>
  <c r="G60" i="1"/>
  <c r="B68" i="1"/>
  <c r="B69" i="1"/>
  <c r="B70" i="1"/>
  <c r="B71" i="1"/>
  <c r="D7" i="3"/>
  <c r="D15" i="3" s="1"/>
  <c r="A25" i="17"/>
  <c r="A31" i="17"/>
  <c r="A26" i="17"/>
  <c r="A30" i="17"/>
  <c r="B81" i="1" l="1"/>
  <c r="B87" i="1" s="1"/>
  <c r="B80" i="1"/>
  <c r="B84" i="1"/>
  <c r="D43" i="7"/>
  <c r="B45" i="7"/>
  <c r="D44" i="7"/>
  <c r="M98" i="12"/>
  <c r="D13" i="4"/>
  <c r="D41" i="4"/>
  <c r="D38" i="4"/>
  <c r="G34" i="8"/>
  <c r="E34" i="8"/>
  <c r="D40" i="8" s="1"/>
  <c r="F34" i="8"/>
  <c r="C45" i="14"/>
  <c r="C46" i="14"/>
  <c r="C47" i="14"/>
  <c r="H62" i="16"/>
  <c r="H63" i="16" s="1"/>
  <c r="H64" i="16" s="1"/>
  <c r="G20" i="8"/>
  <c r="E20" i="8"/>
  <c r="D26" i="8" s="1"/>
  <c r="F20" i="8"/>
  <c r="M114" i="12"/>
  <c r="M116" i="12" s="1"/>
  <c r="I114" i="12"/>
  <c r="I116" i="12" s="1"/>
  <c r="C19" i="3"/>
  <c r="E7" i="3"/>
  <c r="E15" i="3" s="1"/>
  <c r="D10" i="4"/>
  <c r="A36" i="12"/>
  <c r="A13" i="12" s="1"/>
  <c r="H98" i="12"/>
  <c r="H114" i="12" s="1"/>
  <c r="I98" i="12"/>
  <c r="J98" i="12"/>
  <c r="J114" i="12" s="1"/>
  <c r="K98" i="12"/>
  <c r="K114" i="12" s="1"/>
  <c r="L98" i="12"/>
  <c r="L114" i="12" s="1"/>
  <c r="C8" i="12" s="1"/>
  <c r="D19" i="4"/>
  <c r="C5" i="12"/>
  <c r="D21" i="1"/>
  <c r="D22" i="1"/>
  <c r="A27" i="17"/>
  <c r="D20" i="4"/>
  <c r="K116" i="12" l="1"/>
  <c r="C7" i="12"/>
  <c r="J116" i="12"/>
  <c r="C6" i="12"/>
  <c r="C4" i="12"/>
  <c r="H116" i="12"/>
  <c r="L116" i="12"/>
  <c r="D28" i="8"/>
  <c r="D27" i="8"/>
  <c r="C9" i="12"/>
  <c r="D42" i="8"/>
  <c r="D41" i="8"/>
  <c r="E11" i="3"/>
  <c r="D11" i="3"/>
  <c r="F11" i="3"/>
</calcChain>
</file>

<file path=xl/sharedStrings.xml><?xml version="1.0" encoding="utf-8"?>
<sst xmlns="http://schemas.openxmlformats.org/spreadsheetml/2006/main" count="1027" uniqueCount="653">
  <si>
    <t>Screen Height</t>
  </si>
  <si>
    <t>Screen Width</t>
  </si>
  <si>
    <t>Projector should be at least 10x the ambient light level</t>
  </si>
  <si>
    <t>The projector brightness should be within +/-3 times the task lighting</t>
  </si>
  <si>
    <t>De-rate the specified projector about 25%</t>
  </si>
  <si>
    <t>The task lighting should be within +/-3 times the projector light</t>
  </si>
  <si>
    <t>Projector Brightness</t>
  </si>
  <si>
    <t>De-rated %</t>
  </si>
  <si>
    <t>Task lighting</t>
  </si>
  <si>
    <t>Projector +3x</t>
  </si>
  <si>
    <t>Projector -3x</t>
  </si>
  <si>
    <t>Task Light +3x</t>
  </si>
  <si>
    <t>Task Light -3x</t>
  </si>
  <si>
    <t>&lt;==Inches</t>
  </si>
  <si>
    <t>&lt;==XX.0</t>
  </si>
  <si>
    <t>&lt;==Lumens</t>
  </si>
  <si>
    <t>Lux</t>
  </si>
  <si>
    <t>&lt;==Lux</t>
  </si>
  <si>
    <t>Ambient Light at screen +3</t>
  </si>
  <si>
    <t>Ambient Light at screen -3</t>
  </si>
  <si>
    <t>Projection and Task Light Calculations</t>
  </si>
  <si>
    <t>Assumptions</t>
  </si>
  <si>
    <t>Projector</t>
  </si>
  <si>
    <t>Lumen Rated Projector</t>
  </si>
  <si>
    <t>Ambient Light at screen</t>
  </si>
  <si>
    <t>Find the Projector Lumen based on Task Light</t>
  </si>
  <si>
    <t>Find the Task Light Level based on PJ Lumens</t>
  </si>
  <si>
    <t>Find the Projector Lumen based on Ambient Light</t>
  </si>
  <si>
    <t>Ambient Light</t>
  </si>
  <si>
    <t>Lumens</t>
  </si>
  <si>
    <t>Screen Gain</t>
  </si>
  <si>
    <t>&lt;== 1 for Matte White</t>
  </si>
  <si>
    <t>Diagonal</t>
  </si>
  <si>
    <t>Find the Dimension of the Screen</t>
  </si>
  <si>
    <t>Aspect Width</t>
  </si>
  <si>
    <t>Aspect Height</t>
  </si>
  <si>
    <t>Known Width</t>
  </si>
  <si>
    <t>Known Height</t>
  </si>
  <si>
    <t>Known Diagonal</t>
  </si>
  <si>
    <t>&lt;== number</t>
  </si>
  <si>
    <t>&lt;== Inches or Meters</t>
  </si>
  <si>
    <t>Known</t>
  </si>
  <si>
    <t>Resistance</t>
  </si>
  <si>
    <t>Watts</t>
  </si>
  <si>
    <t>Results</t>
  </si>
  <si>
    <t>Volts</t>
  </si>
  <si>
    <t>Ohms Law</t>
  </si>
  <si>
    <t>Distributed Audio System Calculations</t>
  </si>
  <si>
    <t>25 Volt System</t>
  </si>
  <si>
    <t>70.7 Volt System</t>
  </si>
  <si>
    <t>100 Volt System</t>
  </si>
  <si>
    <t>&lt;== angle in degrees</t>
  </si>
  <si>
    <t>&lt;== in dB</t>
  </si>
  <si>
    <t>&lt;== in watts</t>
  </si>
  <si>
    <t>&lt;== at ear height in inches</t>
  </si>
  <si>
    <t>&lt;== at ear height in meters</t>
  </si>
  <si>
    <t>dB SPL at ear at 0 degrees</t>
  </si>
  <si>
    <t>&lt;== at one watt power</t>
  </si>
  <si>
    <t>dB SPL at ear at edge of cone</t>
  </si>
  <si>
    <t>&lt;== In dB SPL</t>
  </si>
  <si>
    <t>Required Electrical Power</t>
  </si>
  <si>
    <t>Decibels</t>
  </si>
  <si>
    <t>Power Change in dB based on Watts</t>
  </si>
  <si>
    <t>From</t>
  </si>
  <si>
    <t>To</t>
  </si>
  <si>
    <t>Change</t>
  </si>
  <si>
    <t>&lt;== Change in dB</t>
  </si>
  <si>
    <t>Voltage or Current Change in dB</t>
  </si>
  <si>
    <t>Distance Change in dB</t>
  </si>
  <si>
    <t>Wattage Change by dB</t>
  </si>
  <si>
    <t>Voltage or Current Change by dB</t>
  </si>
  <si>
    <t>Distance Change by dB</t>
  </si>
  <si>
    <t>&lt;== New requirement</t>
  </si>
  <si>
    <t>&lt;== New distance requirement</t>
  </si>
  <si>
    <t>Frequency</t>
  </si>
  <si>
    <t>Meters</t>
  </si>
  <si>
    <t>Feet</t>
  </si>
  <si>
    <t>Inches</t>
  </si>
  <si>
    <t>PAG NAG</t>
  </si>
  <si>
    <t>D0</t>
  </si>
  <si>
    <t>D1</t>
  </si>
  <si>
    <t>D2</t>
  </si>
  <si>
    <t>FSM</t>
  </si>
  <si>
    <t>Ds</t>
  </si>
  <si>
    <t>EAD</t>
  </si>
  <si>
    <t>&lt;== Distance from source to listener</t>
  </si>
  <si>
    <t>&lt;== Distance from listener's loudspeaker to source microphone</t>
  </si>
  <si>
    <t>&lt;== Distance from listener's loudspeaker to listener</t>
  </si>
  <si>
    <t>&lt;== Distance from source to microphone</t>
  </si>
  <si>
    <t>&lt;== Feedback Stability Margin (6 EQ'ed 12 non-Eqed)</t>
  </si>
  <si>
    <t>&lt;== Equivilant Audio Distance</t>
  </si>
  <si>
    <t>PAG</t>
  </si>
  <si>
    <t>NAG</t>
  </si>
  <si>
    <t>NOM</t>
  </si>
  <si>
    <t>&lt;== Number of open microphones</t>
  </si>
  <si>
    <t>&lt;== dBV value</t>
  </si>
  <si>
    <t>&lt;== dBu value</t>
  </si>
  <si>
    <t>Power Required in Watts</t>
  </si>
  <si>
    <t>&lt;== Sensitivity of the loudspeaker</t>
  </si>
  <si>
    <t>&lt;== Distance from spec sheet (feet or meters)</t>
  </si>
  <si>
    <t>&lt;== Power from spec sheet (watts)</t>
  </si>
  <si>
    <t xml:space="preserve">&lt;== Target listening level </t>
  </si>
  <si>
    <t>&lt;== dB change required</t>
  </si>
  <si>
    <t>Amps</t>
  </si>
  <si>
    <t>&lt;== Power required from amplifier in watts</t>
  </si>
  <si>
    <t>&lt;== Distance to Screen</t>
  </si>
  <si>
    <t>&lt;== Font Height</t>
  </si>
  <si>
    <t>&lt;== Feet</t>
  </si>
  <si>
    <t>&lt;== Inches</t>
  </si>
  <si>
    <t>&lt;== Screen Height</t>
  </si>
  <si>
    <t>&lt;== Screen height - General viewing</t>
  </si>
  <si>
    <t>&lt;== Screen height - Reading</t>
  </si>
  <si>
    <t>&lt;== Screen height - Inspection</t>
  </si>
  <si>
    <t>&lt;== Screen distance - General viewing</t>
  </si>
  <si>
    <t>&lt;== Screen distance - Reading</t>
  </si>
  <si>
    <t>&lt;== Screen distance - Inspection</t>
  </si>
  <si>
    <t>Farthest viewer - 4, 6, 8, Rule</t>
  </si>
  <si>
    <t>Text Height - 150 Rule</t>
  </si>
  <si>
    <t>&lt;== Height of screen - inches or mm</t>
  </si>
  <si>
    <t>&lt;== Height of text required - 150 rule - inches or mm</t>
  </si>
  <si>
    <t>&lt;== Height of screen by pixel count</t>
  </si>
  <si>
    <t>&lt;== Height of text in pixels</t>
  </si>
  <si>
    <t>Font and Screen Size by Distance and Pixel</t>
  </si>
  <si>
    <t>&lt;== Viewer distance from the screen</t>
  </si>
  <si>
    <t>&lt;== Bottom of the screen from the floor</t>
  </si>
  <si>
    <t>&lt;== Angle of view to top of the screen</t>
  </si>
  <si>
    <t>30 Degree angle check</t>
  </si>
  <si>
    <t>&lt;== at ear height in feet</t>
  </si>
  <si>
    <t>&lt;== Headroom in dB</t>
  </si>
  <si>
    <t>&lt;== Volts</t>
  </si>
  <si>
    <t>&lt;== Object dimension</t>
  </si>
  <si>
    <t>&lt;== Object distance</t>
  </si>
  <si>
    <t>&lt;== Focal length</t>
  </si>
  <si>
    <t>&lt;== Imager dimension</t>
  </si>
  <si>
    <t>&lt;== Millimeters</t>
  </si>
  <si>
    <t>Find the Dimension of the Imager</t>
  </si>
  <si>
    <t>&lt;== Aspect width</t>
  </si>
  <si>
    <t>&lt;== Aspect height</t>
  </si>
  <si>
    <t>&lt;== Known width in millimeters</t>
  </si>
  <si>
    <t>&lt;== Known height in millimeters</t>
  </si>
  <si>
    <t>&lt;== Known diagonal millimeters</t>
  </si>
  <si>
    <t>&lt;== Imager width</t>
  </si>
  <si>
    <t>&lt;== Imager height</t>
  </si>
  <si>
    <t>&lt;== Imager diagonal</t>
  </si>
  <si>
    <t>&lt;== Known object dimension</t>
  </si>
  <si>
    <t>&lt;== Known object distance</t>
  </si>
  <si>
    <t>&lt;== Known focal length</t>
  </si>
  <si>
    <t>&lt;== Known imager dimension</t>
  </si>
  <si>
    <t>Lens Calculator</t>
  </si>
  <si>
    <t>&lt;== Object dimension in feet</t>
  </si>
  <si>
    <t>&lt;== Object distance in feet</t>
  </si>
  <si>
    <t>Input three dimensions to find the fourth</t>
  </si>
  <si>
    <t>Type</t>
  </si>
  <si>
    <t>Aspect Ratio</t>
  </si>
  <si>
    <t>Width</t>
  </si>
  <si>
    <t>mm</t>
  </si>
  <si>
    <t>Height</t>
  </si>
  <si>
    <t>Area</t>
  </si>
  <si>
    <t>Relative Area</t>
  </si>
  <si>
    <t>1/6"</t>
  </si>
  <si>
    <t>1/4"</t>
  </si>
  <si>
    <t>1/3.6"</t>
  </si>
  <si>
    <t>1/3.2"</t>
  </si>
  <si>
    <t>1/3"</t>
  </si>
  <si>
    <t>1/2.7"</t>
  </si>
  <si>
    <t>1/2"</t>
  </si>
  <si>
    <t>1/1.8"</t>
  </si>
  <si>
    <t>2/3"</t>
  </si>
  <si>
    <t>1"</t>
  </si>
  <si>
    <t>4/3"</t>
  </si>
  <si>
    <t>4:3</t>
  </si>
  <si>
    <t>mm2</t>
  </si>
  <si>
    <t>Note the dimension of the pickup is larger than the imaging area</t>
  </si>
  <si>
    <t>dBV to voltage</t>
  </si>
  <si>
    <t>dBu to voltage</t>
  </si>
  <si>
    <t>Conduit Fill</t>
  </si>
  <si>
    <t>Trade Size</t>
  </si>
  <si>
    <t>ID inches</t>
  </si>
  <si>
    <t>ID mm</t>
  </si>
  <si>
    <t>1/2</t>
  </si>
  <si>
    <t>3/4</t>
  </si>
  <si>
    <t>1</t>
  </si>
  <si>
    <t>1-1/4</t>
  </si>
  <si>
    <t>1-1/2</t>
  </si>
  <si>
    <t>2</t>
  </si>
  <si>
    <t>2-1/2</t>
  </si>
  <si>
    <t>3</t>
  </si>
  <si>
    <t>3-1/2</t>
  </si>
  <si>
    <t>4</t>
  </si>
  <si>
    <t>Cable OD</t>
  </si>
  <si>
    <t>Jam Ratio</t>
  </si>
  <si>
    <t>Selected</t>
  </si>
  <si>
    <t>Conduit</t>
  </si>
  <si>
    <t>Cable and Wire</t>
  </si>
  <si>
    <t>AWG</t>
  </si>
  <si>
    <t>Solid</t>
  </si>
  <si>
    <t>Stranded</t>
  </si>
  <si>
    <t>Acoustical Wavelength and Frequencies</t>
  </si>
  <si>
    <t>Resistance / 1000'</t>
  </si>
  <si>
    <t xml:space="preserve">&lt;== Cable Length </t>
  </si>
  <si>
    <t>&lt;== Resistance per 1000 feet</t>
  </si>
  <si>
    <t>&lt;== Resistance for the run</t>
  </si>
  <si>
    <t>&lt;== Return Length</t>
  </si>
  <si>
    <t>&lt;== Eye height closest viewer</t>
  </si>
  <si>
    <t>&lt;== Nanoseconds</t>
  </si>
  <si>
    <t>&lt;== Frequency</t>
  </si>
  <si>
    <t>&lt;== Milliseconds</t>
  </si>
  <si>
    <t>Time v Frequency</t>
  </si>
  <si>
    <t>Bandwidth for Computer Output</t>
  </si>
  <si>
    <t>&lt;== Horizontal Pixels</t>
  </si>
  <si>
    <t>&lt;== Vertical Pixels</t>
  </si>
  <si>
    <t>&lt;== Highest bandwidth frequency</t>
  </si>
  <si>
    <t>&lt;== 2x bandwidth frequency</t>
  </si>
  <si>
    <t>&lt;== Rise time required (nS)</t>
  </si>
  <si>
    <t>Time Delay in Feet</t>
  </si>
  <si>
    <t>&lt;== Distance feet</t>
  </si>
  <si>
    <t>&lt;== Delay in milliseconds</t>
  </si>
  <si>
    <t>Time Delay in Meters</t>
  </si>
  <si>
    <t>&lt;== Distance from loudspeaker to target listener (match units feet or meters)</t>
  </si>
  <si>
    <t>Cable Loss and Driver Calculation</t>
  </si>
  <si>
    <t>Cable</t>
  </si>
  <si>
    <t>&lt;== Reference voltage</t>
  </si>
  <si>
    <t>&lt;== Cable spec loss at length reference (100 feet - 33 Meters ...)</t>
  </si>
  <si>
    <t>&lt;== Cable loss spec at lowest frequency - enter positive number</t>
  </si>
  <si>
    <t>&lt;== Cable loss spec at highest frequency - enter positive number</t>
  </si>
  <si>
    <t>&lt;== Calculated loss at lowest frequency</t>
  </si>
  <si>
    <t>&lt;== Calculated loss at highest frequency</t>
  </si>
  <si>
    <t>&lt;== Expected voltage at destination - lowest frequency</t>
  </si>
  <si>
    <t>&lt;== Expected voltage at destination - highest frequency</t>
  </si>
  <si>
    <t>Cable Driver Voltage to dB convertor</t>
  </si>
  <si>
    <t>&lt;== Minimum voltage</t>
  </si>
  <si>
    <t>&lt;== Maximum voltage</t>
  </si>
  <si>
    <t>&lt;== dB change minimum</t>
  </si>
  <si>
    <t>&lt;== dB change maximum</t>
  </si>
  <si>
    <t>Ceiling Mounted Loudspeaker Calculations</t>
  </si>
  <si>
    <t>&lt;== inches 48 or 64</t>
  </si>
  <si>
    <t>&lt;== Known width angle</t>
  </si>
  <si>
    <t>&lt;== Known height angle</t>
  </si>
  <si>
    <t>&lt;== Known diagonal angle</t>
  </si>
  <si>
    <t>&lt;== Aspect diagonal - calculated</t>
  </si>
  <si>
    <t>Sound coverage diameter</t>
  </si>
  <si>
    <t>Target listening level</t>
  </si>
  <si>
    <t>Ceiling height</t>
  </si>
  <si>
    <t>Ear height</t>
  </si>
  <si>
    <t>Loudspeaker dispersion</t>
  </si>
  <si>
    <t>Loudspeaker sensitivity</t>
  </si>
  <si>
    <t>Loudspeaker tap value</t>
  </si>
  <si>
    <t>&lt;== Pixel width in nano seconds</t>
  </si>
  <si>
    <t>&lt;== Distance meters</t>
  </si>
  <si>
    <t>&lt;== Speed of sound</t>
  </si>
  <si>
    <t>&lt;== Starting position</t>
  </si>
  <si>
    <t>&lt;== Second position</t>
  </si>
  <si>
    <t>&lt;== Reference voltage - 1</t>
  </si>
  <si>
    <t>&lt;== Reference voltage - 0.775</t>
  </si>
  <si>
    <t>&lt;== Starting position in watts</t>
  </si>
  <si>
    <t>&lt;== New wattage requirement</t>
  </si>
  <si>
    <t xml:space="preserve">&lt;== Starting position </t>
  </si>
  <si>
    <t>&lt;== Starting position by distance</t>
  </si>
  <si>
    <t>&lt;== Known height results</t>
  </si>
  <si>
    <t>&lt;== Known width result</t>
  </si>
  <si>
    <t>&lt;== Known diagonal results</t>
  </si>
  <si>
    <t>&lt;== Reference voltage (.7 volts - RGB, 1 volt composite)</t>
  </si>
  <si>
    <t>&lt;== Length of cable</t>
  </si>
  <si>
    <t>Qty</t>
  </si>
  <si>
    <t>Loudspeaker Tap Values</t>
  </si>
  <si>
    <t>Subtotal Tap Values</t>
  </si>
  <si>
    <t>&lt;== Total watts tapped</t>
  </si>
  <si>
    <t>Amplifier Impedance</t>
  </si>
  <si>
    <t>&lt;== Power in watts</t>
  </si>
  <si>
    <t>&lt;== Voltage system</t>
  </si>
  <si>
    <t>&lt;== Impedance</t>
  </si>
  <si>
    <t>Minimum Amplifier Required Based on Taps</t>
  </si>
  <si>
    <t>Minimum Amplifier Required Based on Impedance</t>
  </si>
  <si>
    <t>&lt;== Adding overhead (resulting impedance)</t>
  </si>
  <si>
    <t>Expected Impedance Value</t>
  </si>
  <si>
    <t>Streaming and File Size Calculator</t>
  </si>
  <si>
    <t>Audio</t>
  </si>
  <si>
    <t>&lt;== Sampling rate</t>
  </si>
  <si>
    <t>&lt;== Channels</t>
  </si>
  <si>
    <t>&lt;== Bit depth</t>
  </si>
  <si>
    <t>&lt;== bits per second (streaming)</t>
  </si>
  <si>
    <t>&lt;== bits per minute (storage)</t>
  </si>
  <si>
    <t>&lt;== bits per hour (storage)</t>
  </si>
  <si>
    <t>&lt;== Depth of Pixels (8 or 10 Bit)</t>
  </si>
  <si>
    <t>&lt;== Pixels Across - Horizontal</t>
  </si>
  <si>
    <t>&lt;== Pixels Down - Vertical</t>
  </si>
  <si>
    <t>&lt;== PAL 50 / NTSC 60 / Refresh rate</t>
  </si>
  <si>
    <r>
      <t>&lt;== 4:4:4=</t>
    </r>
    <r>
      <rPr>
        <sz val="10"/>
        <color indexed="12"/>
        <rFont val="Arial"/>
        <family val="2"/>
      </rPr>
      <t>3</t>
    </r>
    <r>
      <rPr>
        <sz val="10"/>
        <rFont val="Arial"/>
        <family val="2"/>
      </rPr>
      <t xml:space="preserve"> 4:2:2=</t>
    </r>
    <r>
      <rPr>
        <sz val="10"/>
        <color indexed="12"/>
        <rFont val="Arial"/>
        <family val="2"/>
      </rPr>
      <t xml:space="preserve">2 </t>
    </r>
    <r>
      <rPr>
        <sz val="10"/>
        <rFont val="Arial"/>
        <family val="2"/>
      </rPr>
      <t>4:1:1=</t>
    </r>
    <r>
      <rPr>
        <sz val="10"/>
        <color indexed="12"/>
        <rFont val="Arial"/>
        <family val="2"/>
      </rPr>
      <t>1.5</t>
    </r>
    <r>
      <rPr>
        <sz val="10"/>
        <rFont val="Arial"/>
        <family val="2"/>
      </rPr>
      <t xml:space="preserve"> 4:4:4:4=</t>
    </r>
    <r>
      <rPr>
        <sz val="10"/>
        <color indexed="12"/>
        <rFont val="Arial"/>
        <family val="2"/>
      </rPr>
      <t>4 - RGB or Component Sampling</t>
    </r>
  </si>
  <si>
    <t>Video</t>
  </si>
  <si>
    <t>&lt;== Raw data rate in bits per second</t>
  </si>
  <si>
    <t>&lt;== Raw data rate in bytes per second</t>
  </si>
  <si>
    <t>Audio Video</t>
  </si>
  <si>
    <t>&lt;== Derated speed factor</t>
  </si>
  <si>
    <t>&lt;== Allowable percentage of streaming media</t>
  </si>
  <si>
    <t>&lt;== Rated speed of network in Mbit/s</t>
  </si>
  <si>
    <t>&lt;== Max data rate allowed for streaming</t>
  </si>
  <si>
    <t>Network Capacity</t>
  </si>
  <si>
    <t>&lt;== Audio + Video data raw size</t>
  </si>
  <si>
    <t>&lt;== Storage size</t>
  </si>
  <si>
    <t>&lt;== Data rate per second</t>
  </si>
  <si>
    <t>&lt;== Compression ratio (if no compression enter 1)</t>
  </si>
  <si>
    <t>&lt;== Data rate per minute</t>
  </si>
  <si>
    <t>&lt;== Data rate per hour</t>
  </si>
  <si>
    <t>Room Mode Calculator</t>
  </si>
  <si>
    <t>&lt;== Length of the room</t>
  </si>
  <si>
    <t>&lt;== Width of the room</t>
  </si>
  <si>
    <t>&lt;== Height of the room</t>
  </si>
  <si>
    <t xml:space="preserve">&lt;== Speed of sound </t>
  </si>
  <si>
    <t>&lt;== Speed of Sound (1125ft/s or 340m/s)</t>
  </si>
  <si>
    <t>&lt;== Length Fundamental Frequency in Hz</t>
  </si>
  <si>
    <t>&lt;== Width Fundamental Frequency in Hz</t>
  </si>
  <si>
    <t>&lt;== Height Fundamental Frequency in Hz</t>
  </si>
  <si>
    <t>Axial Modes</t>
  </si>
  <si>
    <t>P</t>
  </si>
  <si>
    <t>Q</t>
  </si>
  <si>
    <t>R</t>
  </si>
  <si>
    <t>Axial</t>
  </si>
  <si>
    <t>Tangental</t>
  </si>
  <si>
    <t>Oblique</t>
  </si>
  <si>
    <t>&lt;== Closest viewer based on 30 degree angle</t>
  </si>
  <si>
    <t>&lt;== dB change</t>
  </si>
  <si>
    <t>&lt;== Wattage change</t>
  </si>
  <si>
    <t>Wattage Change referenced to 1 dBw</t>
  </si>
  <si>
    <t>&lt;== Wattage required</t>
  </si>
  <si>
    <t>&lt;== Percent Change</t>
  </si>
  <si>
    <t>RT 60 Calculation for a rectangular room</t>
  </si>
  <si>
    <t>&lt;== Width of room</t>
  </si>
  <si>
    <t>&lt;== Length of room</t>
  </si>
  <si>
    <t>&lt;== Height of room</t>
  </si>
  <si>
    <t xml:space="preserve">Material </t>
  </si>
  <si>
    <t xml:space="preserve">125Hz </t>
  </si>
  <si>
    <t xml:space="preserve">250Hz </t>
  </si>
  <si>
    <t xml:space="preserve">500Hz </t>
  </si>
  <si>
    <t xml:space="preserve">1kHz </t>
  </si>
  <si>
    <t xml:space="preserve">2kHz </t>
  </si>
  <si>
    <t xml:space="preserve">4kHz </t>
  </si>
  <si>
    <t>Carpet</t>
  </si>
  <si>
    <t>- heavy on concrete</t>
  </si>
  <si>
    <t>- heavy on 40oz hair felt</t>
  </si>
  <si>
    <t>- heavy with latex backin on foam or 40hz hair felt</t>
  </si>
  <si>
    <t>- outdoor/indoor</t>
  </si>
  <si>
    <t>Wood Floor</t>
  </si>
  <si>
    <t>Concrete Floor</t>
  </si>
  <si>
    <t>Linoleum, Asphalt-tile, or cork tile on concrete</t>
  </si>
  <si>
    <t>Foam backed carpet on concrete</t>
  </si>
  <si>
    <t>Heavy carpet + heavy foam underlay on concrete</t>
  </si>
  <si>
    <t>Vinyl flooring</t>
  </si>
  <si>
    <t>Gypsum board: 1/2" on 2 x 4s, 16" on centers (plasterboard)</t>
  </si>
  <si>
    <t>9mm Plasterboard over 20mm air gap</t>
  </si>
  <si>
    <t>Plaster, gypsum or lime smooth finish on tile or brick</t>
  </si>
  <si>
    <t>Plaster: gypsum or lime, smooth finish on lath</t>
  </si>
  <si>
    <t>Concrete Block, course</t>
  </si>
  <si>
    <t>Concrete Block, painted</t>
  </si>
  <si>
    <t>Plaster on brick</t>
  </si>
  <si>
    <t>Brickwork</t>
  </si>
  <si>
    <t>Owens-Corning Frescor, painted, 5/8" thick Mounting 7 Drop Ceiling</t>
  </si>
  <si>
    <t>Drapes cotton 14oz/sq yd</t>
  </si>
  <si>
    <t>- draped to 7/8 area</t>
  </si>
  <si>
    <t>- draped to 3/4 area</t>
  </si>
  <si>
    <t>- draped to 1/2 area</t>
  </si>
  <si>
    <t>Cotton drapes draped to half area. 15oz/sq yd</t>
  </si>
  <si>
    <t>Drapes medium velor, 18oz sq yd draped to 1/2 area</t>
  </si>
  <si>
    <t>Acoustical tile, average 1/2" thick</t>
  </si>
  <si>
    <t>Acoustical tile, average 3/4" thick</t>
  </si>
  <si>
    <t>50mm Acoustic Foam</t>
  </si>
  <si>
    <t>100mm Acoustic Foam</t>
  </si>
  <si>
    <t>50mm Mineral Wool (Med Density)</t>
  </si>
  <si>
    <t>Plate glass</t>
  </si>
  <si>
    <t>6mm glass</t>
  </si>
  <si>
    <t>Window glass</t>
  </si>
  <si>
    <t>Breeze block</t>
  </si>
  <si>
    <t>LF panel absorber</t>
  </si>
  <si>
    <t>Perforated Helmholz absorber, 4-inch depth, mineral wool damping, 0.79% perforation.</t>
  </si>
  <si>
    <t>Perforated Helmholz absorber,8-inch depth, mineral wool damping, 0.79% perforation.</t>
  </si>
  <si>
    <t>Broad-band absorber, 1-inch fibreglass slab at mouth of 7-inch deep cavity</t>
  </si>
  <si>
    <t>Padded seat (unoccupied)</t>
  </si>
  <si>
    <t>College students informally dressed seated in tablet arm chairs (per person)</t>
  </si>
  <si>
    <t>Audience seated, depending on spacing and upholstry of seats (per person)</t>
  </si>
  <si>
    <t>Index #</t>
  </si>
  <si>
    <t>Absortion Factors</t>
  </si>
  <si>
    <t>&lt;== Coefficient Index #</t>
  </si>
  <si>
    <t>&lt;== Total surface area</t>
  </si>
  <si>
    <t>&lt;== Remaining surface area</t>
  </si>
  <si>
    <t>Floor</t>
  </si>
  <si>
    <t>Ceiling</t>
  </si>
  <si>
    <t>Back wall</t>
  </si>
  <si>
    <t>Right wall</t>
  </si>
  <si>
    <t>Left wall</t>
  </si>
  <si>
    <t>Front Wall</t>
  </si>
  <si>
    <t>&lt;== Total ceiling surface area</t>
  </si>
  <si>
    <t>&lt;== Total floor surface area</t>
  </si>
  <si>
    <t>&lt;== Total front surface area</t>
  </si>
  <si>
    <t>&lt;== Total back surface area</t>
  </si>
  <si>
    <t>&lt;== Total right surface area</t>
  </si>
  <si>
    <t>&lt;== Total left surface area</t>
  </si>
  <si>
    <t>Selected surfaces</t>
  </si>
  <si>
    <t>&lt;== Surface area sq area 1</t>
  </si>
  <si>
    <t>&lt;== Surface area sq area 2</t>
  </si>
  <si>
    <t>&lt;== Surface area sq area 3</t>
  </si>
  <si>
    <t>&lt;== Surface area sq area 4</t>
  </si>
  <si>
    <t>&lt;== Surface area sq area 5</t>
  </si>
  <si>
    <t xml:space="preserve">&lt;== Surface area sq area 6 </t>
  </si>
  <si>
    <t>&lt;== Surface area sq area 7</t>
  </si>
  <si>
    <t>&lt;== Surface area sq area 8</t>
  </si>
  <si>
    <t>&lt;== Surface area sq area 9</t>
  </si>
  <si>
    <t>&lt;== Surface area sq area 10</t>
  </si>
  <si>
    <t>&lt;== Surface area sq area 11</t>
  </si>
  <si>
    <t>&lt;== Surface area sq area 12</t>
  </si>
  <si>
    <t>&lt;== Surface area sq area 13</t>
  </si>
  <si>
    <t>&lt;== Surface area sq area 14</t>
  </si>
  <si>
    <t>&lt;== Surface area sq area 15</t>
  </si>
  <si>
    <t>&lt;== Surface area sq area 16</t>
  </si>
  <si>
    <t>&lt;== Surface area sq area 17</t>
  </si>
  <si>
    <t>&lt;== Surface area sq area 18</t>
  </si>
  <si>
    <t>&lt;== Surface area sq area 19</t>
  </si>
  <si>
    <t>&lt;== Surface area sq area 20</t>
  </si>
  <si>
    <t>&lt;== Surface area sq area 21</t>
  </si>
  <si>
    <t>&lt;== Surface area sq area 22</t>
  </si>
  <si>
    <t>&lt;== Surface area sq area 23</t>
  </si>
  <si>
    <t>&lt;== Surface area sq area 24</t>
  </si>
  <si>
    <t>Average Coefficient</t>
  </si>
  <si>
    <t xml:space="preserve">&lt;== Cubic volume of the room </t>
  </si>
  <si>
    <t>Calculated RT60</t>
  </si>
  <si>
    <t xml:space="preserve">Calculated RT60 </t>
  </si>
  <si>
    <t>&lt;== 150Hz</t>
  </si>
  <si>
    <t>&lt;== 250Hz</t>
  </si>
  <si>
    <t>&lt;== 500Hz</t>
  </si>
  <si>
    <t>&lt;== 1kHz</t>
  </si>
  <si>
    <t>&lt;== 2kHz</t>
  </si>
  <si>
    <t>&lt;== 4kHz</t>
  </si>
  <si>
    <t>&lt;== Speed of sound 1130/343</t>
  </si>
  <si>
    <t>*speed must match feet or meters</t>
  </si>
  <si>
    <t>Band 1</t>
  </si>
  <si>
    <t>Band 2</t>
  </si>
  <si>
    <t>Band 3</t>
  </si>
  <si>
    <t>Band 4</t>
  </si>
  <si>
    <t>Band 5</t>
  </si>
  <si>
    <t>Band 6</t>
  </si>
  <si>
    <t>ACUML Band (s) Out of   6 dB Tolerance Range?</t>
  </si>
  <si>
    <t>ACUML Conforms?</t>
  </si>
  <si>
    <t>Octave Band</t>
  </si>
  <si>
    <t>Nominal Ambient Level</t>
  </si>
  <si>
    <t>Range High to Low</t>
  </si>
  <si>
    <t xml:space="preserve"> </t>
  </si>
  <si>
    <t>ACUML DATA 1</t>
  </si>
  <si>
    <t>ACUML DATA 2</t>
  </si>
  <si>
    <t>ACUML DATA 3</t>
  </si>
  <si>
    <t>ACUML DATA 4</t>
  </si>
  <si>
    <t>ACUML DATA 5</t>
  </si>
  <si>
    <t>ACUML DATA 6</t>
  </si>
  <si>
    <t>ACUML DATA 7</t>
  </si>
  <si>
    <t>ACUML DATA 8</t>
  </si>
  <si>
    <t>ACUML DATA 9</t>
  </si>
  <si>
    <t>ACUML DATA 10</t>
  </si>
  <si>
    <t>ACUML DATA 11</t>
  </si>
  <si>
    <t>ACUML DATA 12</t>
  </si>
  <si>
    <t>ACUML DATA 13</t>
  </si>
  <si>
    <t>ACUML DATA 14</t>
  </si>
  <si>
    <t>ACUML DATA 15</t>
  </si>
  <si>
    <t>ACUML DATA 16</t>
  </si>
  <si>
    <t>ACUML DATA 17</t>
  </si>
  <si>
    <t>ACUML DATA 18</t>
  </si>
  <si>
    <t>ACUML DATA 19</t>
  </si>
  <si>
    <t>ACUML DATA 20</t>
  </si>
  <si>
    <t>ACUML DATA 21</t>
  </si>
  <si>
    <t>ACUML DATA 22</t>
  </si>
  <si>
    <t>ACUML DATA 23</t>
  </si>
  <si>
    <t>ACUML DATA 24</t>
  </si>
  <si>
    <t>ACUML DATA 25</t>
  </si>
  <si>
    <t>ACUML DATA 26</t>
  </si>
  <si>
    <t>ACUML DATA 27</t>
  </si>
  <si>
    <t>ACUML DATA 28</t>
  </si>
  <si>
    <t>RANGE WINDOW</t>
  </si>
  <si>
    <t>Number of Non-Conforming ACUMLs</t>
  </si>
  <si>
    <t>Percentage of Conforming ACUMLs</t>
  </si>
  <si>
    <t>CONFORMANCE RESULT</t>
  </si>
  <si>
    <t>√</t>
  </si>
  <si>
    <t>CONFORMS</t>
  </si>
  <si>
    <t>CONDITIONAL CONFORMANCE*</t>
  </si>
  <si>
    <t>FAILS TO CONFORM*</t>
  </si>
  <si>
    <t>* Explanation</t>
  </si>
  <si>
    <t>ACU Conformance Sheet</t>
  </si>
  <si>
    <t>Signal type used for measurement</t>
  </si>
  <si>
    <t>Measurement tools used</t>
  </si>
  <si>
    <t>Equalization curve used</t>
  </si>
  <si>
    <t>Number ACUMLs</t>
  </si>
  <si>
    <t>100% Conformance</t>
  </si>
  <si>
    <t>More than 90% Conformance</t>
  </si>
  <si>
    <t>Less than 90% Conformance</t>
  </si>
  <si>
    <t>Total</t>
  </si>
  <si>
    <t>&lt;== Frame Rate</t>
  </si>
  <si>
    <t>Amplifier Calculations</t>
  </si>
  <si>
    <t>Voltage Input Calculations</t>
  </si>
  <si>
    <t>&lt;== Loudspeaker Impedance</t>
  </si>
  <si>
    <t>&lt;== Vout</t>
  </si>
  <si>
    <t>&lt;== Iout</t>
  </si>
  <si>
    <t>&lt;== Output voltage</t>
  </si>
  <si>
    <t>&lt;== Lp Level at the listening position</t>
  </si>
  <si>
    <t>Electrical Power Required (feet)</t>
  </si>
  <si>
    <t>&lt;== Power Required (watts)</t>
  </si>
  <si>
    <t>&lt;== Length of cable between amplifier and loudspeaker (feet)</t>
  </si>
  <si>
    <t>Ohms/100ft</t>
  </si>
  <si>
    <t>mm^2</t>
  </si>
  <si>
    <t>Ohms/100M</t>
  </si>
  <si>
    <t>&lt;== Gauge of cable</t>
  </si>
  <si>
    <t>&lt;== Resistance of cable per 100 feet</t>
  </si>
  <si>
    <t>&lt;== Total Cable Resistance (ohms)</t>
  </si>
  <si>
    <t>&lt;== Loudspeaker Impedance (ohms)</t>
  </si>
  <si>
    <t>&lt;== Distance from loudspeaker to listener (meters)</t>
  </si>
  <si>
    <t>&lt;== Distance from loudspeaker to listener (feet)</t>
  </si>
  <si>
    <t>&lt;== Length of cable between amplifier and loudspeaker (meters)</t>
  </si>
  <si>
    <t>&lt;== Resistance of cable per 100 meters</t>
  </si>
  <si>
    <t>Electrical Power Required (meters)</t>
  </si>
  <si>
    <t>Electrical Power Required Including Cable (feet)</t>
  </si>
  <si>
    <t>Electrical Power Required Including Cable (meters)</t>
  </si>
  <si>
    <t>&lt;== Size of cable</t>
  </si>
  <si>
    <t>&lt;== Cable length</t>
  </si>
  <si>
    <t>&lt;== Maximum cable resistance per foot</t>
  </si>
  <si>
    <t>Westpenn</t>
  </si>
  <si>
    <t>gauge</t>
  </si>
  <si>
    <t>ohm/1000ft</t>
  </si>
  <si>
    <t>&lt;== Calculated wire gauge</t>
  </si>
  <si>
    <t>Min Area</t>
  </si>
  <si>
    <t>Fill %</t>
  </si>
  <si>
    <t>Metric</t>
  </si>
  <si>
    <t>Alt Conduit</t>
  </si>
  <si>
    <t>Fill Ratios</t>
  </si>
  <si>
    <t>Cables</t>
  </si>
  <si>
    <t>3 means three or more cables</t>
  </si>
  <si>
    <t>Percentage Fill</t>
  </si>
  <si>
    <t>Metric Sizes (mm)</t>
  </si>
  <si>
    <t>Standard Sizes (inches)</t>
  </si>
  <si>
    <t>Direct connect loudspeakers</t>
  </si>
  <si>
    <t>&lt;== Headroom (10dB voice 20dB music)</t>
  </si>
  <si>
    <t>&lt;== Loudspeaker sensitivity</t>
  </si>
  <si>
    <t>&lt;== Total cable resistance (ohms)</t>
  </si>
  <si>
    <t>&lt;== Power required (watts)</t>
  </si>
  <si>
    <t>Direct Connect Systems</t>
  </si>
  <si>
    <t>&lt;== Specified amplifier power</t>
  </si>
  <si>
    <t>&lt;== Specified amplifier input voltage</t>
  </si>
  <si>
    <t>&lt;== Calculated required power</t>
  </si>
  <si>
    <t>&lt;== Amplifier gain</t>
  </si>
  <si>
    <t>&lt;== Input voltage</t>
  </si>
  <si>
    <t>Wire Gauge Required</t>
  </si>
  <si>
    <t>&lt;== Wire gauge required</t>
  </si>
  <si>
    <t>Distributed Systems</t>
  </si>
  <si>
    <t>Loudspeaker chain 1</t>
  </si>
  <si>
    <t>Loudspeaker chain 2</t>
  </si>
  <si>
    <t>Loudspeaker chain 3</t>
  </si>
  <si>
    <t>&lt;== Ceiling height from floor</t>
  </si>
  <si>
    <t>&lt;== Ear height from floor</t>
  </si>
  <si>
    <t>&lt;== Watts required to the loudspeaker</t>
  </si>
  <si>
    <t>&lt;== Tap value selected</t>
  </si>
  <si>
    <t>&lt;== Number of loudspeakers in the chain</t>
  </si>
  <si>
    <t>&lt;== Subtotal of tap values (sum)</t>
  </si>
  <si>
    <t>&lt;== Sum of tap values</t>
  </si>
  <si>
    <t>&lt;== Sum of watts required at the loudspeaker</t>
  </si>
  <si>
    <t>&lt;== Upsize of values for transformer and cable loss (1.5)</t>
  </si>
  <si>
    <t>&lt;== Power required from the amplifier</t>
  </si>
  <si>
    <t>&lt;== Percentage power oversize due to tap selection</t>
  </si>
  <si>
    <t>T-Pad</t>
  </si>
  <si>
    <t>&lt;== Required loss (in +dB)</t>
  </si>
  <si>
    <t>&lt;== Input impedance</t>
  </si>
  <si>
    <t>&lt;== Output impedance</t>
  </si>
  <si>
    <t>Audio Pad</t>
  </si>
  <si>
    <t>T-Pad (unbalanced)</t>
  </si>
  <si>
    <t>H-Pad (balanced)</t>
  </si>
  <si>
    <t>&lt;== Parallel resistor (R3)</t>
  </si>
  <si>
    <t>&lt;== Series Resistor (R1)</t>
  </si>
  <si>
    <t>&lt;== Series Resistors (R1 and R4)</t>
  </si>
  <si>
    <t>&lt;== Series Resistor (R2)</t>
  </si>
  <si>
    <t>&lt;== Voltage at present</t>
  </si>
  <si>
    <t>&lt;== Voltage desired</t>
  </si>
  <si>
    <t>&lt;== Series Resistors (R2 and R5)</t>
  </si>
  <si>
    <t>H-Pad</t>
  </si>
  <si>
    <t>Distance between loudspeakers</t>
  </si>
  <si>
    <t>&lt;== Edge to edge spacing in inches</t>
  </si>
  <si>
    <t>&lt;== Partial coverage in inches</t>
  </si>
  <si>
    <t>&lt;== 50% overlap in inches</t>
  </si>
  <si>
    <t>&lt;== Angle of view to center of the screen</t>
  </si>
  <si>
    <t>&lt;== Closest viewer based on 15 degree angle</t>
  </si>
  <si>
    <t>&lt;== Closest viewer based on 15 and 30 degree angle check</t>
  </si>
  <si>
    <t>&lt;== Contrast Ratio</t>
  </si>
  <si>
    <t>7.5/15/50/80</t>
  </si>
  <si>
    <t>Amplifier output</t>
  </si>
  <si>
    <t>Constant voltage</t>
  </si>
  <si>
    <t>Current from amp</t>
  </si>
  <si>
    <t>Amplifier impedance</t>
  </si>
  <si>
    <t>Number of loudspeakers</t>
  </si>
  <si>
    <t>Tap setting</t>
  </si>
  <si>
    <t>Tap loss</t>
  </si>
  <si>
    <t>Effective tap setting</t>
  </si>
  <si>
    <t>Impedance each</t>
  </si>
  <si>
    <t>Impedance total</t>
  </si>
  <si>
    <t>Current Each</t>
  </si>
  <si>
    <t>Current Total</t>
  </si>
  <si>
    <t>Volume at 1 meter</t>
  </si>
  <si>
    <t>Volume Total</t>
  </si>
  <si>
    <t>&lt;== Watts</t>
  </si>
  <si>
    <t>&lt;== Amps</t>
  </si>
  <si>
    <t>&lt;== Ohms</t>
  </si>
  <si>
    <t>&lt;== dB SPL</t>
  </si>
  <si>
    <t>&lt;== Units</t>
  </si>
  <si>
    <t>&lt;== dB</t>
  </si>
  <si>
    <t>&lt;== Ohms each</t>
  </si>
  <si>
    <t>&lt;== Ohms total</t>
  </si>
  <si>
    <t>&lt;== Amps each</t>
  </si>
  <si>
    <t>&lt;== Amps total</t>
  </si>
  <si>
    <t>&lt;== dB SPL each</t>
  </si>
  <si>
    <t>&lt;== dB SPL total</t>
  </si>
  <si>
    <t>Loudspeaker sensi @ 1W 1M</t>
  </si>
  <si>
    <t>50% increase equals 1.75 dB loss</t>
  </si>
  <si>
    <t>&lt;== Meters</t>
  </si>
  <si>
    <t>Headroom</t>
  </si>
  <si>
    <t>&lt;== Hr 10 dB voice or 20 dB music</t>
  </si>
  <si>
    <t xml:space="preserve">&lt;== inches </t>
  </si>
  <si>
    <t>&lt;== Watts (includes headroom)</t>
  </si>
  <si>
    <t>&lt;== Watts applied to the loudspeaker</t>
  </si>
  <si>
    <t>Contrast Ratio</t>
  </si>
  <si>
    <t>AVG</t>
  </si>
  <si>
    <t>White</t>
  </si>
  <si>
    <t>Black</t>
  </si>
  <si>
    <t>Location</t>
  </si>
  <si>
    <t>Farthest Right</t>
  </si>
  <si>
    <t>Farthest Left</t>
  </si>
  <si>
    <t>Center</t>
  </si>
  <si>
    <t>Closest Right</t>
  </si>
  <si>
    <t>Closest Left</t>
  </si>
  <si>
    <t>Contrast Measurements</t>
  </si>
  <si>
    <t>:1</t>
  </si>
  <si>
    <t>Desired Contrast Ratio ==&gt;</t>
  </si>
  <si>
    <t>Conformity ==&gt;</t>
  </si>
  <si>
    <t>7:1 Passive Viewing</t>
  </si>
  <si>
    <t>15:1 Basic Decision Making</t>
  </si>
  <si>
    <t>50:1 Analytical Decision Making</t>
  </si>
  <si>
    <t>80:1 Full Motion Video (home theater)</t>
  </si>
  <si>
    <t>Viewing Requirement Categories and Minimum Contrast Ratios</t>
  </si>
  <si>
    <t>&lt;== Increase value for system loss (50%)</t>
  </si>
  <si>
    <t>&lt;== Aspect ratio width</t>
  </si>
  <si>
    <t>&lt;== Aspect ratio height</t>
  </si>
  <si>
    <t>&lt;== Width of image of the object telephoto</t>
  </si>
  <si>
    <t>&lt;== Height of image of the object telephoto</t>
  </si>
  <si>
    <t>&lt;== Width of image of the object wide</t>
  </si>
  <si>
    <t>&lt;== Height of image of the object wide</t>
  </si>
  <si>
    <t>&lt;== Angle of view telephoto (degrees - width)</t>
  </si>
  <si>
    <t>&lt;== Angle of view wide (degrees - width)</t>
  </si>
  <si>
    <t>Width and height of object image based on lens angle of view</t>
  </si>
  <si>
    <t>&lt;== Distance from camera to object (units entered will be units result - meters, inches, feet)</t>
  </si>
  <si>
    <t>Object height and width based on imager size - much more difficult</t>
  </si>
  <si>
    <t>&lt;== Image height</t>
  </si>
  <si>
    <t xml:space="preserve">&lt;== Difference of eye level to top of the screen </t>
  </si>
  <si>
    <t xml:space="preserve">&lt;== Difference of eye level to center of the screen  </t>
  </si>
  <si>
    <t>Contrast Ratio should be 7.5:1 / 15:1 / 50:1 / 80:1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</si>
</sst>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0_);_(* \(#,##0.0000\);_(* &quot;-&quot;??_);_(@_)"/>
    <numFmt numFmtId="170" formatCode="_(* #,##0.0000000_);_(* \(#,##0.0000000\);_(* &quot;-&quot;??_);_(@_)"/>
    <numFmt numFmtId="171" formatCode="0.000000000000"/>
    <numFmt numFmtId="172" formatCode="0.0%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213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/>
    <xf numFmtId="0" fontId="0" fillId="2" borderId="0" xfId="0" applyFill="1"/>
    <xf numFmtId="0" fontId="6" fillId="0" borderId="0" xfId="0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1" fontId="0" fillId="0" borderId="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2" fontId="0" fillId="0" borderId="0" xfId="0" applyNumberFormat="1"/>
    <xf numFmtId="0" fontId="2" fillId="0" borderId="0" xfId="2" applyFont="1" applyAlignment="1" applyProtection="1">
      <alignment horizontal="right"/>
    </xf>
    <xf numFmtId="166" fontId="0" fillId="0" borderId="0" xfId="0" applyNumberFormat="1"/>
    <xf numFmtId="0" fontId="0" fillId="2" borderId="5" xfId="0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2" fontId="0" fillId="2" borderId="0" xfId="0" applyNumberFormat="1" applyFill="1"/>
    <xf numFmtId="1" fontId="0" fillId="2" borderId="0" xfId="0" applyNumberFormat="1" applyFill="1"/>
    <xf numFmtId="0" fontId="0" fillId="0" borderId="0" xfId="0" applyAlignment="1"/>
    <xf numFmtId="2" fontId="0" fillId="0" borderId="0" xfId="0" applyNumberFormat="1" applyFill="1"/>
    <xf numFmtId="0" fontId="6" fillId="0" borderId="0" xfId="0" applyFont="1" applyAlignment="1">
      <alignment horizontal="center"/>
    </xf>
    <xf numFmtId="0" fontId="8" fillId="0" borderId="0" xfId="0" applyFont="1"/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20" fontId="9" fillId="0" borderId="8" xfId="0" quotePrefix="1" applyNumberFormat="1" applyFont="1" applyBorder="1" applyAlignment="1">
      <alignment horizontal="center" wrapText="1"/>
    </xf>
    <xf numFmtId="0" fontId="0" fillId="0" borderId="0" xfId="0" quotePrefix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0" xfId="0" applyFill="1" applyAlignment="1">
      <alignment horizontal="right" indent="1"/>
    </xf>
    <xf numFmtId="43" fontId="0" fillId="0" borderId="0" xfId="1" applyFont="1"/>
    <xf numFmtId="0" fontId="7" fillId="0" borderId="0" xfId="0" applyFont="1"/>
    <xf numFmtId="167" fontId="0" fillId="0" borderId="0" xfId="1" applyNumberFormat="1" applyFont="1"/>
    <xf numFmtId="168" fontId="0" fillId="0" borderId="0" xfId="1" applyNumberFormat="1" applyFont="1"/>
    <xf numFmtId="169" fontId="0" fillId="0" borderId="0" xfId="1" applyNumberFormat="1" applyFont="1"/>
    <xf numFmtId="168" fontId="0" fillId="2" borderId="0" xfId="1" applyNumberFormat="1" applyFont="1" applyFill="1"/>
    <xf numFmtId="43" fontId="0" fillId="2" borderId="0" xfId="1" applyNumberFormat="1" applyFont="1" applyFill="1"/>
    <xf numFmtId="171" fontId="0" fillId="0" borderId="0" xfId="0" applyNumberFormat="1"/>
    <xf numFmtId="43" fontId="0" fillId="0" borderId="0" xfId="0" applyNumberFormat="1"/>
    <xf numFmtId="170" fontId="0" fillId="0" borderId="0" xfId="1" applyNumberFormat="1" applyFont="1"/>
    <xf numFmtId="2" fontId="0" fillId="4" borderId="0" xfId="0" applyNumberFormat="1" applyFill="1"/>
    <xf numFmtId="0" fontId="9" fillId="0" borderId="0" xfId="0" applyFont="1" applyBorder="1" applyAlignment="1">
      <alignment horizontal="center" wrapText="1"/>
    </xf>
    <xf numFmtId="20" fontId="9" fillId="0" borderId="0" xfId="0" quotePrefix="1" applyNumberFormat="1" applyFont="1" applyBorder="1" applyAlignment="1">
      <alignment horizontal="center" wrapText="1"/>
    </xf>
    <xf numFmtId="165" fontId="0" fillId="0" borderId="0" xfId="0" applyNumberFormat="1"/>
    <xf numFmtId="0" fontId="9" fillId="0" borderId="0" xfId="0" applyFont="1" applyAlignment="1">
      <alignment horizontal="center"/>
    </xf>
    <xf numFmtId="2" fontId="0" fillId="0" borderId="0" xfId="0" applyNumberFormat="1" applyAlignment="1">
      <alignment horizontal="left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9" xfId="0" applyBorder="1" applyAlignment="1"/>
    <xf numFmtId="0" fontId="0" fillId="0" borderId="10" xfId="0" applyBorder="1" applyAlignment="1"/>
    <xf numFmtId="166" fontId="0" fillId="2" borderId="5" xfId="0" applyNumberFormat="1" applyFill="1" applyBorder="1" applyAlignment="1">
      <alignment horizontal="center"/>
    </xf>
    <xf numFmtId="3" fontId="0" fillId="0" borderId="0" xfId="0" applyNumberFormat="1"/>
    <xf numFmtId="0" fontId="9" fillId="0" borderId="0" xfId="0" applyFont="1"/>
    <xf numFmtId="0" fontId="9" fillId="2" borderId="0" xfId="0" applyFont="1" applyFill="1"/>
    <xf numFmtId="1" fontId="0" fillId="0" borderId="0" xfId="0" applyNumberFormat="1"/>
    <xf numFmtId="0" fontId="2" fillId="0" borderId="0" xfId="0" applyFont="1" applyAlignment="1">
      <alignment horizontal="center"/>
    </xf>
    <xf numFmtId="9" fontId="0" fillId="0" borderId="0" xfId="3" applyFont="1"/>
    <xf numFmtId="0" fontId="9" fillId="0" borderId="0" xfId="0" applyFont="1" applyAlignment="1">
      <alignment horizontal="left" vertical="top" wrapText="1"/>
    </xf>
    <xf numFmtId="2" fontId="9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2" fontId="6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right" vertical="top" wrapText="1"/>
    </xf>
    <xf numFmtId="0" fontId="11" fillId="0" borderId="11" xfId="0" applyFont="1" applyBorder="1"/>
    <xf numFmtId="0" fontId="11" fillId="4" borderId="12" xfId="0" applyFont="1" applyFill="1" applyBorder="1" applyAlignment="1">
      <alignment horizontal="center" wrapText="1"/>
    </xf>
    <xf numFmtId="0" fontId="11" fillId="0" borderId="13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5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0" fontId="11" fillId="0" borderId="16" xfId="0" applyFont="1" applyFill="1" applyBorder="1" applyAlignment="1"/>
    <xf numFmtId="0" fontId="11" fillId="0" borderId="0" xfId="0" applyFont="1" applyFill="1" applyBorder="1"/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10" fontId="0" fillId="0" borderId="0" xfId="0" applyNumberFormat="1" applyAlignment="1">
      <alignment horizontal="center"/>
    </xf>
    <xf numFmtId="0" fontId="12" fillId="0" borderId="19" xfId="0" applyFont="1" applyBorder="1" applyAlignment="1">
      <alignment horizontal="center"/>
    </xf>
    <xf numFmtId="0" fontId="11" fillId="4" borderId="17" xfId="0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172" fontId="13" fillId="0" borderId="0" xfId="3" applyNumberFormat="1" applyFont="1" applyAlignment="1">
      <alignment horizontal="center"/>
    </xf>
    <xf numFmtId="172" fontId="0" fillId="0" borderId="0" xfId="0" applyNumberFormat="1"/>
    <xf numFmtId="0" fontId="13" fillId="0" borderId="20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0" fillId="5" borderId="0" xfId="0" applyFill="1"/>
    <xf numFmtId="166" fontId="9" fillId="0" borderId="0" xfId="0" applyNumberFormat="1" applyFont="1"/>
    <xf numFmtId="0" fontId="16" fillId="0" borderId="0" xfId="0" applyFont="1"/>
    <xf numFmtId="0" fontId="6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0" fillId="0" borderId="15" xfId="0" applyBorder="1"/>
    <xf numFmtId="0" fontId="0" fillId="0" borderId="0" xfId="0" applyBorder="1"/>
    <xf numFmtId="0" fontId="0" fillId="0" borderId="16" xfId="0" applyBorder="1"/>
    <xf numFmtId="0" fontId="0" fillId="0" borderId="9" xfId="0" applyBorder="1"/>
    <xf numFmtId="0" fontId="0" fillId="0" borderId="10" xfId="0" applyBorder="1"/>
    <xf numFmtId="0" fontId="0" fillId="0" borderId="22" xfId="0" applyBorder="1"/>
    <xf numFmtId="0" fontId="19" fillId="0" borderId="0" xfId="0" applyFont="1"/>
    <xf numFmtId="0" fontId="6" fillId="0" borderId="0" xfId="0" applyFont="1" applyAlignment="1">
      <alignment horizontal="right"/>
    </xf>
    <xf numFmtId="9" fontId="0" fillId="0" borderId="0" xfId="3" applyFont="1" applyAlignment="1">
      <alignment horizontal="center"/>
    </xf>
    <xf numFmtId="0" fontId="6" fillId="6" borderId="0" xfId="0" applyFont="1" applyFill="1" applyAlignment="1">
      <alignment horizontal="center"/>
    </xf>
    <xf numFmtId="1" fontId="9" fillId="6" borderId="0" xfId="0" applyNumberFormat="1" applyFont="1" applyFill="1" applyAlignment="1">
      <alignment horizontal="center"/>
    </xf>
    <xf numFmtId="1" fontId="0" fillId="6" borderId="0" xfId="0" applyNumberForma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0" fillId="6" borderId="0" xfId="0" quotePrefix="1" applyFill="1" applyAlignment="1">
      <alignment horizontal="center"/>
    </xf>
    <xf numFmtId="1" fontId="0" fillId="0" borderId="0" xfId="0" applyNumberFormat="1" applyAlignment="1">
      <alignment horizontal="center"/>
    </xf>
    <xf numFmtId="0" fontId="9" fillId="5" borderId="0" xfId="0" applyFont="1" applyFill="1"/>
    <xf numFmtId="0" fontId="17" fillId="0" borderId="0" xfId="0" applyFont="1"/>
    <xf numFmtId="9" fontId="15" fillId="5" borderId="0" xfId="3" applyFont="1" applyFill="1" applyAlignment="1">
      <alignment horizontal="center"/>
    </xf>
    <xf numFmtId="0" fontId="0" fillId="0" borderId="23" xfId="0" applyBorder="1"/>
    <xf numFmtId="172" fontId="0" fillId="0" borderId="0" xfId="4" applyNumberFormat="1" applyFont="1"/>
    <xf numFmtId="0" fontId="18" fillId="0" borderId="0" xfId="0" applyFont="1"/>
    <xf numFmtId="0" fontId="20" fillId="0" borderId="0" xfId="5" applyFont="1"/>
    <xf numFmtId="0" fontId="21" fillId="0" borderId="0" xfId="5" applyFont="1"/>
    <xf numFmtId="0" fontId="21" fillId="0" borderId="0" xfId="5" applyFont="1" applyAlignment="1">
      <alignment horizontal="right"/>
    </xf>
    <xf numFmtId="0" fontId="21" fillId="5" borderId="0" xfId="5" applyFont="1" applyFill="1"/>
    <xf numFmtId="0" fontId="21" fillId="0" borderId="0" xfId="5" applyFont="1" applyProtection="1">
      <protection hidden="1"/>
    </xf>
    <xf numFmtId="0" fontId="21" fillId="8" borderId="43" xfId="5" applyFont="1" applyFill="1" applyBorder="1" applyAlignment="1">
      <alignment horizontal="center"/>
    </xf>
    <xf numFmtId="0" fontId="21" fillId="0" borderId="43" xfId="5" applyFont="1" applyBorder="1" applyAlignment="1">
      <alignment horizontal="center"/>
    </xf>
    <xf numFmtId="0" fontId="21" fillId="5" borderId="43" xfId="5" applyFont="1" applyFill="1" applyBorder="1" applyAlignment="1">
      <alignment horizontal="center"/>
    </xf>
    <xf numFmtId="0" fontId="21" fillId="7" borderId="43" xfId="5" applyFont="1" applyFill="1" applyBorder="1" applyAlignment="1">
      <alignment horizontal="center"/>
    </xf>
    <xf numFmtId="166" fontId="21" fillId="7" borderId="43" xfId="5" applyNumberFormat="1" applyFont="1" applyFill="1" applyBorder="1" applyAlignment="1">
      <alignment horizontal="center"/>
    </xf>
    <xf numFmtId="0" fontId="21" fillId="0" borderId="0" xfId="5" applyFont="1" applyAlignment="1">
      <alignment horizontal="center"/>
    </xf>
    <xf numFmtId="0" fontId="20" fillId="0" borderId="0" xfId="5" applyFont="1" applyAlignment="1">
      <alignment horizontal="right"/>
    </xf>
    <xf numFmtId="1" fontId="20" fillId="0" borderId="0" xfId="5" applyNumberFormat="1" applyFont="1" applyAlignment="1">
      <alignment horizontal="center"/>
    </xf>
    <xf numFmtId="0" fontId="21" fillId="0" borderId="0" xfId="5" quotePrefix="1" applyFont="1"/>
    <xf numFmtId="0" fontId="21" fillId="0" borderId="0" xfId="5" quotePrefix="1" applyFont="1" applyAlignment="1">
      <alignment horizontal="right"/>
    </xf>
    <xf numFmtId="0" fontId="2" fillId="0" borderId="0" xfId="0" applyFont="1"/>
    <xf numFmtId="0" fontId="2" fillId="5" borderId="0" xfId="0" applyFont="1" applyFill="1"/>
    <xf numFmtId="166" fontId="2" fillId="0" borderId="0" xfId="0" applyNumberFormat="1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0" xfId="0" applyFont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11" fillId="0" borderId="30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3" fillId="0" borderId="31" xfId="0" applyFont="1" applyBorder="1" applyAlignment="1">
      <alignment horizontal="left" indent="1"/>
    </xf>
    <xf numFmtId="0" fontId="13" fillId="0" borderId="32" xfId="0" applyFont="1" applyBorder="1" applyAlignment="1">
      <alignment horizontal="left" indent="1"/>
    </xf>
    <xf numFmtId="0" fontId="13" fillId="0" borderId="33" xfId="0" applyFont="1" applyBorder="1" applyAlignment="1">
      <alignment horizontal="left" indent="1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11" fillId="0" borderId="39" xfId="0" applyFont="1" applyFill="1" applyBorder="1" applyAlignment="1">
      <alignment horizontal="left"/>
    </xf>
    <xf numFmtId="0" fontId="11" fillId="0" borderId="20" xfId="0" applyFont="1" applyFill="1" applyBorder="1" applyAlignment="1">
      <alignment horizontal="left"/>
    </xf>
    <xf numFmtId="0" fontId="13" fillId="0" borderId="40" xfId="0" applyFont="1" applyBorder="1" applyAlignment="1">
      <alignment horizontal="left" indent="1"/>
    </xf>
    <xf numFmtId="0" fontId="13" fillId="0" borderId="41" xfId="0" applyFont="1" applyBorder="1" applyAlignment="1">
      <alignment horizontal="left" indent="1"/>
    </xf>
    <xf numFmtId="0" fontId="13" fillId="0" borderId="42" xfId="0" applyFont="1" applyBorder="1" applyAlignment="1">
      <alignment horizontal="left" indent="1"/>
    </xf>
    <xf numFmtId="166" fontId="0" fillId="0" borderId="17" xfId="0" applyNumberFormat="1" applyBorder="1"/>
    <xf numFmtId="166" fontId="0" fillId="0" borderId="43" xfId="0" applyNumberFormat="1" applyBorder="1"/>
  </cellXfs>
  <cellStyles count="6">
    <cellStyle name="Comma" xfId="1" builtinId="3"/>
    <cellStyle name="Hyperlink" xfId="2" builtinId="8"/>
    <cellStyle name="Normal" xfId="0" builtinId="0"/>
    <cellStyle name="Normal 2" xfId="5"/>
    <cellStyle name="Percent" xfId="3" builtinId="5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354308112148233"/>
          <c:y val="2.952029520295202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6026567695318726E-2"/>
          <c:y val="0.13837638376383765"/>
          <c:w val="0.85430532639283552"/>
          <c:h val="0.76937269372693728"/>
        </c:manualLayout>
      </c:layout>
      <c:scatterChart>
        <c:scatterStyle val="lineMarker"/>
        <c:varyColors val="0"/>
        <c:ser>
          <c:idx val="0"/>
          <c:order val="0"/>
          <c:tx>
            <c:strRef>
              <c:f>'Room Mode'!$E$12</c:f>
              <c:strCache>
                <c:ptCount val="1"/>
                <c:pt idx="0">
                  <c:v>Frequency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'Room Mode'!$E$13:$E$136</c:f>
              <c:numCache>
                <c:formatCode>0</c:formatCode>
                <c:ptCount val="124"/>
                <c:pt idx="0">
                  <c:v>34.4</c:v>
                </c:pt>
                <c:pt idx="1">
                  <c:v>68.8</c:v>
                </c:pt>
                <c:pt idx="2">
                  <c:v>103.2</c:v>
                </c:pt>
                <c:pt idx="3">
                  <c:v>137.6</c:v>
                </c:pt>
                <c:pt idx="4">
                  <c:v>13.4375</c:v>
                </c:pt>
                <c:pt idx="5">
                  <c:v>36.931374280549051</c:v>
                </c:pt>
                <c:pt idx="6">
                  <c:v>70.099974366971068</c:v>
                </c:pt>
                <c:pt idx="7">
                  <c:v>104.07116030029644</c:v>
                </c:pt>
                <c:pt idx="8">
                  <c:v>138.25457101394517</c:v>
                </c:pt>
                <c:pt idx="9">
                  <c:v>26.875</c:v>
                </c:pt>
                <c:pt idx="10">
                  <c:v>43.653472084130946</c:v>
                </c:pt>
                <c:pt idx="11">
                  <c:v>73.862748561098101</c:v>
                </c:pt>
                <c:pt idx="12">
                  <c:v>106.6419505869993</c:v>
                </c:pt>
                <c:pt idx="13">
                  <c:v>140.19994873394214</c:v>
                </c:pt>
                <c:pt idx="14">
                  <c:v>40.3125</c:v>
                </c:pt>
                <c:pt idx="15">
                  <c:v>52.994883302541581</c:v>
                </c:pt>
                <c:pt idx="16">
                  <c:v>79.740439278010001</c:v>
                </c:pt>
                <c:pt idx="17">
                  <c:v>110.79412284164717</c:v>
                </c:pt>
                <c:pt idx="18">
                  <c:v>143.38360316385553</c:v>
                </c:pt>
                <c:pt idx="19">
                  <c:v>53.75</c:v>
                </c:pt>
                <c:pt idx="20">
                  <c:v>63.815534942520074</c:v>
                </c:pt>
                <c:pt idx="21">
                  <c:v>87.306944168261893</c:v>
                </c:pt>
                <c:pt idx="22">
                  <c:v>116.35850849851936</c:v>
                </c:pt>
                <c:pt idx="23">
                  <c:v>147.7254971221962</c:v>
                </c:pt>
                <c:pt idx="24">
                  <c:v>13.4375</c:v>
                </c:pt>
                <c:pt idx="25">
                  <c:v>36.931374280549051</c:v>
                </c:pt>
                <c:pt idx="26">
                  <c:v>70.099974366971068</c:v>
                </c:pt>
                <c:pt idx="27">
                  <c:v>104.07116030029644</c:v>
                </c:pt>
                <c:pt idx="28">
                  <c:v>138.25457101394517</c:v>
                </c:pt>
                <c:pt idx="29">
                  <c:v>19.003494744388465</c:v>
                </c:pt>
                <c:pt idx="30">
                  <c:v>39.300035782426463</c:v>
                </c:pt>
                <c:pt idx="31">
                  <c:v>71.376276258291881</c:v>
                </c:pt>
                <c:pt idx="32">
                  <c:v>104.9350885666944</c:v>
                </c:pt>
                <c:pt idx="33">
                  <c:v>138.90605750830309</c:v>
                </c:pt>
                <c:pt idx="34">
                  <c:v>30.047163447653425</c:v>
                </c:pt>
                <c:pt idx="35">
                  <c:v>45.674851190233781</c:v>
                </c:pt>
                <c:pt idx="36">
                  <c:v>75.07510926565476</c:v>
                </c:pt>
                <c:pt idx="37">
                  <c:v>107.48521773364931</c:v>
                </c:pt>
                <c:pt idx="38">
                  <c:v>140.84243689758426</c:v>
                </c:pt>
                <c:pt idx="39">
                  <c:v>42.493106058512595</c:v>
                </c:pt>
                <c:pt idx="40">
                  <c:v>54.671967794291071</c:v>
                </c:pt>
                <c:pt idx="41">
                  <c:v>80.864726936409056</c:v>
                </c:pt>
                <c:pt idx="42">
                  <c:v>111.60602162293934</c:v>
                </c:pt>
                <c:pt idx="43">
                  <c:v>144.01188861514177</c:v>
                </c:pt>
                <c:pt idx="44">
                  <c:v>55.404231844237316</c:v>
                </c:pt>
                <c:pt idx="45">
                  <c:v>65.214943887501732</c:v>
                </c:pt>
                <c:pt idx="46">
                  <c:v>88.334981214975087</c:v>
                </c:pt>
                <c:pt idx="47">
                  <c:v>117.13184411700347</c:v>
                </c:pt>
                <c:pt idx="48">
                  <c:v>148.33539330264372</c:v>
                </c:pt>
                <c:pt idx="49">
                  <c:v>26.875</c:v>
                </c:pt>
                <c:pt idx="50">
                  <c:v>43.653472084130946</c:v>
                </c:pt>
                <c:pt idx="51">
                  <c:v>73.862748561098101</c:v>
                </c:pt>
                <c:pt idx="52">
                  <c:v>106.6419505869993</c:v>
                </c:pt>
                <c:pt idx="53">
                  <c:v>140.19994873394214</c:v>
                </c:pt>
                <c:pt idx="54">
                  <c:v>30.047163447653425</c:v>
                </c:pt>
                <c:pt idx="55">
                  <c:v>45.674851190233781</c:v>
                </c:pt>
                <c:pt idx="56">
                  <c:v>75.07510926565476</c:v>
                </c:pt>
                <c:pt idx="57">
                  <c:v>107.48521773364931</c:v>
                </c:pt>
                <c:pt idx="58">
                  <c:v>140.84243689758426</c:v>
                </c:pt>
                <c:pt idx="59">
                  <c:v>38.006989488776931</c:v>
                </c:pt>
                <c:pt idx="60">
                  <c:v>51.262961775535366</c:v>
                </c:pt>
                <c:pt idx="61">
                  <c:v>78.600071564852925</c:v>
                </c:pt>
                <c:pt idx="62">
                  <c:v>109.97623038638849</c:v>
                </c:pt>
                <c:pt idx="63">
                  <c:v>142.75255251658376</c:v>
                </c:pt>
                <c:pt idx="64">
                  <c:v>48.449595264047353</c:v>
                </c:pt>
                <c:pt idx="65">
                  <c:v>59.419889609877266</c:v>
                </c:pt>
                <c:pt idx="66">
                  <c:v>84.147509061468966</c:v>
                </c:pt>
                <c:pt idx="67">
                  <c:v>114.0070317184427</c:v>
                </c:pt>
                <c:pt idx="68">
                  <c:v>145.88051028581577</c:v>
                </c:pt>
                <c:pt idx="69">
                  <c:v>60.09432689530685</c:v>
                </c:pt>
                <c:pt idx="70">
                  <c:v>69.243686535308044</c:v>
                </c:pt>
                <c:pt idx="71">
                  <c:v>91.349702380467562</c:v>
                </c:pt>
                <c:pt idx="72">
                  <c:v>119.42180757717578</c:v>
                </c:pt>
                <c:pt idx="73">
                  <c:v>150.15021853130952</c:v>
                </c:pt>
                <c:pt idx="74">
                  <c:v>40.3125</c:v>
                </c:pt>
                <c:pt idx="75">
                  <c:v>52.994883302541581</c:v>
                </c:pt>
                <c:pt idx="76">
                  <c:v>79.740439278010001</c:v>
                </c:pt>
                <c:pt idx="77">
                  <c:v>110.79412284164717</c:v>
                </c:pt>
                <c:pt idx="78">
                  <c:v>143.38360316385553</c:v>
                </c:pt>
                <c:pt idx="79">
                  <c:v>42.493106058512595</c:v>
                </c:pt>
                <c:pt idx="80">
                  <c:v>54.671967794291071</c:v>
                </c:pt>
                <c:pt idx="81">
                  <c:v>80.864726936409056</c:v>
                </c:pt>
                <c:pt idx="82">
                  <c:v>111.60602162293934</c:v>
                </c:pt>
                <c:pt idx="83">
                  <c:v>144.01188861514177</c:v>
                </c:pt>
                <c:pt idx="84">
                  <c:v>48.449595264047353</c:v>
                </c:pt>
                <c:pt idx="85">
                  <c:v>59.419889609877266</c:v>
                </c:pt>
                <c:pt idx="86">
                  <c:v>84.147509061468966</c:v>
                </c:pt>
                <c:pt idx="87">
                  <c:v>114.0070317184427</c:v>
                </c:pt>
                <c:pt idx="88">
                  <c:v>145.88051028581577</c:v>
                </c:pt>
                <c:pt idx="89">
                  <c:v>57.0104842331654</c:v>
                </c:pt>
                <c:pt idx="90">
                  <c:v>66.584948092643273</c:v>
                </c:pt>
                <c:pt idx="91">
                  <c:v>89.351190884621118</c:v>
                </c:pt>
                <c:pt idx="92">
                  <c:v>117.90010734727937</c:v>
                </c:pt>
                <c:pt idx="93">
                  <c:v>148.94279207971096</c:v>
                </c:pt>
                <c:pt idx="94">
                  <c:v>67.1875</c:v>
                </c:pt>
                <c:pt idx="95">
                  <c:v>75.481919399615165</c:v>
                </c:pt>
                <c:pt idx="96">
                  <c:v>96.164443305465042</c:v>
                </c:pt>
                <c:pt idx="97">
                  <c:v>123.14381899328119</c:v>
                </c:pt>
                <c:pt idx="98">
                  <c:v>153.12713722998288</c:v>
                </c:pt>
                <c:pt idx="99">
                  <c:v>53.75</c:v>
                </c:pt>
                <c:pt idx="100">
                  <c:v>63.815534942520074</c:v>
                </c:pt>
                <c:pt idx="101">
                  <c:v>87.306944168261893</c:v>
                </c:pt>
                <c:pt idx="102">
                  <c:v>116.35850849851936</c:v>
                </c:pt>
                <c:pt idx="103">
                  <c:v>147.7254971221962</c:v>
                </c:pt>
                <c:pt idx="104">
                  <c:v>55.404231844237316</c:v>
                </c:pt>
                <c:pt idx="105">
                  <c:v>65.214943887501732</c:v>
                </c:pt>
                <c:pt idx="106">
                  <c:v>88.334981214975087</c:v>
                </c:pt>
                <c:pt idx="107">
                  <c:v>117.13184411700347</c:v>
                </c:pt>
                <c:pt idx="108">
                  <c:v>148.33539330264372</c:v>
                </c:pt>
                <c:pt idx="109">
                  <c:v>60.09432689530685</c:v>
                </c:pt>
                <c:pt idx="110">
                  <c:v>69.243686535308044</c:v>
                </c:pt>
                <c:pt idx="111">
                  <c:v>91.349702380467562</c:v>
                </c:pt>
                <c:pt idx="112">
                  <c:v>119.42180757717578</c:v>
                </c:pt>
                <c:pt idx="113">
                  <c:v>150.15021853130952</c:v>
                </c:pt>
                <c:pt idx="114">
                  <c:v>67.1875</c:v>
                </c:pt>
                <c:pt idx="115">
                  <c:v>75.481919399615165</c:v>
                </c:pt>
                <c:pt idx="116">
                  <c:v>96.164443305465042</c:v>
                </c:pt>
                <c:pt idx="117">
                  <c:v>123.14381899328119</c:v>
                </c:pt>
                <c:pt idx="118">
                  <c:v>153.12713722998288</c:v>
                </c:pt>
                <c:pt idx="119">
                  <c:v>76.013978977553862</c:v>
                </c:pt>
                <c:pt idx="120">
                  <c:v>83.435514021308691</c:v>
                </c:pt>
                <c:pt idx="121">
                  <c:v>102.52592355107073</c:v>
                </c:pt>
                <c:pt idx="122">
                  <c:v>128.17318362278436</c:v>
                </c:pt>
                <c:pt idx="123">
                  <c:v>157.20014312970585</c:v>
                </c:pt>
              </c:numCache>
            </c:numRef>
          </c:xVal>
          <c:yVal>
            <c:numRef>
              <c:f>'Room Mode'!$E$13:$E$136</c:f>
              <c:numCache>
                <c:formatCode>0</c:formatCode>
                <c:ptCount val="124"/>
                <c:pt idx="0">
                  <c:v>34.4</c:v>
                </c:pt>
                <c:pt idx="1">
                  <c:v>68.8</c:v>
                </c:pt>
                <c:pt idx="2">
                  <c:v>103.2</c:v>
                </c:pt>
                <c:pt idx="3">
                  <c:v>137.6</c:v>
                </c:pt>
                <c:pt idx="4">
                  <c:v>13.4375</c:v>
                </c:pt>
                <c:pt idx="5">
                  <c:v>36.931374280549051</c:v>
                </c:pt>
                <c:pt idx="6">
                  <c:v>70.099974366971068</c:v>
                </c:pt>
                <c:pt idx="7">
                  <c:v>104.07116030029644</c:v>
                </c:pt>
                <c:pt idx="8">
                  <c:v>138.25457101394517</c:v>
                </c:pt>
                <c:pt idx="9">
                  <c:v>26.875</c:v>
                </c:pt>
                <c:pt idx="10">
                  <c:v>43.653472084130946</c:v>
                </c:pt>
                <c:pt idx="11">
                  <c:v>73.862748561098101</c:v>
                </c:pt>
                <c:pt idx="12">
                  <c:v>106.6419505869993</c:v>
                </c:pt>
                <c:pt idx="13">
                  <c:v>140.19994873394214</c:v>
                </c:pt>
                <c:pt idx="14">
                  <c:v>40.3125</c:v>
                </c:pt>
                <c:pt idx="15">
                  <c:v>52.994883302541581</c:v>
                </c:pt>
                <c:pt idx="16">
                  <c:v>79.740439278010001</c:v>
                </c:pt>
                <c:pt idx="17">
                  <c:v>110.79412284164717</c:v>
                </c:pt>
                <c:pt idx="18">
                  <c:v>143.38360316385553</c:v>
                </c:pt>
                <c:pt idx="19">
                  <c:v>53.75</c:v>
                </c:pt>
                <c:pt idx="20">
                  <c:v>63.815534942520074</c:v>
                </c:pt>
                <c:pt idx="21">
                  <c:v>87.306944168261893</c:v>
                </c:pt>
                <c:pt idx="22">
                  <c:v>116.35850849851936</c:v>
                </c:pt>
                <c:pt idx="23">
                  <c:v>147.7254971221962</c:v>
                </c:pt>
                <c:pt idx="24">
                  <c:v>13.4375</c:v>
                </c:pt>
                <c:pt idx="25">
                  <c:v>36.931374280549051</c:v>
                </c:pt>
                <c:pt idx="26">
                  <c:v>70.099974366971068</c:v>
                </c:pt>
                <c:pt idx="27">
                  <c:v>104.07116030029644</c:v>
                </c:pt>
                <c:pt idx="28">
                  <c:v>138.25457101394517</c:v>
                </c:pt>
                <c:pt idx="29">
                  <c:v>19.003494744388465</c:v>
                </c:pt>
                <c:pt idx="30">
                  <c:v>39.300035782426463</c:v>
                </c:pt>
                <c:pt idx="31">
                  <c:v>71.376276258291881</c:v>
                </c:pt>
                <c:pt idx="32">
                  <c:v>104.9350885666944</c:v>
                </c:pt>
                <c:pt idx="33">
                  <c:v>138.90605750830309</c:v>
                </c:pt>
                <c:pt idx="34">
                  <c:v>30.047163447653425</c:v>
                </c:pt>
                <c:pt idx="35">
                  <c:v>45.674851190233781</c:v>
                </c:pt>
                <c:pt idx="36">
                  <c:v>75.07510926565476</c:v>
                </c:pt>
                <c:pt idx="37">
                  <c:v>107.48521773364931</c:v>
                </c:pt>
                <c:pt idx="38">
                  <c:v>140.84243689758426</c:v>
                </c:pt>
                <c:pt idx="39">
                  <c:v>42.493106058512595</c:v>
                </c:pt>
                <c:pt idx="40">
                  <c:v>54.671967794291071</c:v>
                </c:pt>
                <c:pt idx="41">
                  <c:v>80.864726936409056</c:v>
                </c:pt>
                <c:pt idx="42">
                  <c:v>111.60602162293934</c:v>
                </c:pt>
                <c:pt idx="43">
                  <c:v>144.01188861514177</c:v>
                </c:pt>
                <c:pt idx="44">
                  <c:v>55.404231844237316</c:v>
                </c:pt>
                <c:pt idx="45">
                  <c:v>65.214943887501732</c:v>
                </c:pt>
                <c:pt idx="46">
                  <c:v>88.334981214975087</c:v>
                </c:pt>
                <c:pt idx="47">
                  <c:v>117.13184411700347</c:v>
                </c:pt>
                <c:pt idx="48">
                  <c:v>148.33539330264372</c:v>
                </c:pt>
                <c:pt idx="49">
                  <c:v>26.875</c:v>
                </c:pt>
                <c:pt idx="50">
                  <c:v>43.653472084130946</c:v>
                </c:pt>
                <c:pt idx="51">
                  <c:v>73.862748561098101</c:v>
                </c:pt>
                <c:pt idx="52">
                  <c:v>106.6419505869993</c:v>
                </c:pt>
                <c:pt idx="53">
                  <c:v>140.19994873394214</c:v>
                </c:pt>
                <c:pt idx="54">
                  <c:v>30.047163447653425</c:v>
                </c:pt>
                <c:pt idx="55">
                  <c:v>45.674851190233781</c:v>
                </c:pt>
                <c:pt idx="56">
                  <c:v>75.07510926565476</c:v>
                </c:pt>
                <c:pt idx="57">
                  <c:v>107.48521773364931</c:v>
                </c:pt>
                <c:pt idx="58">
                  <c:v>140.84243689758426</c:v>
                </c:pt>
                <c:pt idx="59">
                  <c:v>38.006989488776931</c:v>
                </c:pt>
                <c:pt idx="60">
                  <c:v>51.262961775535366</c:v>
                </c:pt>
                <c:pt idx="61">
                  <c:v>78.600071564852925</c:v>
                </c:pt>
                <c:pt idx="62">
                  <c:v>109.97623038638849</c:v>
                </c:pt>
                <c:pt idx="63">
                  <c:v>142.75255251658376</c:v>
                </c:pt>
                <c:pt idx="64">
                  <c:v>48.449595264047353</c:v>
                </c:pt>
                <c:pt idx="65">
                  <c:v>59.419889609877266</c:v>
                </c:pt>
                <c:pt idx="66">
                  <c:v>84.147509061468966</c:v>
                </c:pt>
                <c:pt idx="67">
                  <c:v>114.0070317184427</c:v>
                </c:pt>
                <c:pt idx="68">
                  <c:v>145.88051028581577</c:v>
                </c:pt>
                <c:pt idx="69">
                  <c:v>60.09432689530685</c:v>
                </c:pt>
                <c:pt idx="70">
                  <c:v>69.243686535308044</c:v>
                </c:pt>
                <c:pt idx="71">
                  <c:v>91.349702380467562</c:v>
                </c:pt>
                <c:pt idx="72">
                  <c:v>119.42180757717578</c:v>
                </c:pt>
                <c:pt idx="73">
                  <c:v>150.15021853130952</c:v>
                </c:pt>
                <c:pt idx="74">
                  <c:v>40.3125</c:v>
                </c:pt>
                <c:pt idx="75">
                  <c:v>52.994883302541581</c:v>
                </c:pt>
                <c:pt idx="76">
                  <c:v>79.740439278010001</c:v>
                </c:pt>
                <c:pt idx="77">
                  <c:v>110.79412284164717</c:v>
                </c:pt>
                <c:pt idx="78">
                  <c:v>143.38360316385553</c:v>
                </c:pt>
                <c:pt idx="79">
                  <c:v>42.493106058512595</c:v>
                </c:pt>
                <c:pt idx="80">
                  <c:v>54.671967794291071</c:v>
                </c:pt>
                <c:pt idx="81">
                  <c:v>80.864726936409056</c:v>
                </c:pt>
                <c:pt idx="82">
                  <c:v>111.60602162293934</c:v>
                </c:pt>
                <c:pt idx="83">
                  <c:v>144.01188861514177</c:v>
                </c:pt>
                <c:pt idx="84">
                  <c:v>48.449595264047353</c:v>
                </c:pt>
                <c:pt idx="85">
                  <c:v>59.419889609877266</c:v>
                </c:pt>
                <c:pt idx="86">
                  <c:v>84.147509061468966</c:v>
                </c:pt>
                <c:pt idx="87">
                  <c:v>114.0070317184427</c:v>
                </c:pt>
                <c:pt idx="88">
                  <c:v>145.88051028581577</c:v>
                </c:pt>
                <c:pt idx="89">
                  <c:v>57.0104842331654</c:v>
                </c:pt>
                <c:pt idx="90">
                  <c:v>66.584948092643273</c:v>
                </c:pt>
                <c:pt idx="91">
                  <c:v>89.351190884621118</c:v>
                </c:pt>
                <c:pt idx="92">
                  <c:v>117.90010734727937</c:v>
                </c:pt>
                <c:pt idx="93">
                  <c:v>148.94279207971096</c:v>
                </c:pt>
                <c:pt idx="94">
                  <c:v>67.1875</c:v>
                </c:pt>
                <c:pt idx="95">
                  <c:v>75.481919399615165</c:v>
                </c:pt>
                <c:pt idx="96">
                  <c:v>96.164443305465042</c:v>
                </c:pt>
                <c:pt idx="97">
                  <c:v>123.14381899328119</c:v>
                </c:pt>
                <c:pt idx="98">
                  <c:v>153.12713722998288</c:v>
                </c:pt>
                <c:pt idx="99">
                  <c:v>53.75</c:v>
                </c:pt>
                <c:pt idx="100">
                  <c:v>63.815534942520074</c:v>
                </c:pt>
                <c:pt idx="101">
                  <c:v>87.306944168261893</c:v>
                </c:pt>
                <c:pt idx="102">
                  <c:v>116.35850849851936</c:v>
                </c:pt>
                <c:pt idx="103">
                  <c:v>147.7254971221962</c:v>
                </c:pt>
                <c:pt idx="104">
                  <c:v>55.404231844237316</c:v>
                </c:pt>
                <c:pt idx="105">
                  <c:v>65.214943887501732</c:v>
                </c:pt>
                <c:pt idx="106">
                  <c:v>88.334981214975087</c:v>
                </c:pt>
                <c:pt idx="107">
                  <c:v>117.13184411700347</c:v>
                </c:pt>
                <c:pt idx="108">
                  <c:v>148.33539330264372</c:v>
                </c:pt>
                <c:pt idx="109">
                  <c:v>60.09432689530685</c:v>
                </c:pt>
                <c:pt idx="110">
                  <c:v>69.243686535308044</c:v>
                </c:pt>
                <c:pt idx="111">
                  <c:v>91.349702380467562</c:v>
                </c:pt>
                <c:pt idx="112">
                  <c:v>119.42180757717578</c:v>
                </c:pt>
                <c:pt idx="113">
                  <c:v>150.15021853130952</c:v>
                </c:pt>
                <c:pt idx="114">
                  <c:v>67.1875</c:v>
                </c:pt>
                <c:pt idx="115">
                  <c:v>75.481919399615165</c:v>
                </c:pt>
                <c:pt idx="116">
                  <c:v>96.164443305465042</c:v>
                </c:pt>
                <c:pt idx="117">
                  <c:v>123.14381899328119</c:v>
                </c:pt>
                <c:pt idx="118">
                  <c:v>153.12713722998288</c:v>
                </c:pt>
                <c:pt idx="119">
                  <c:v>76.013978977553862</c:v>
                </c:pt>
                <c:pt idx="120">
                  <c:v>83.435514021308691</c:v>
                </c:pt>
                <c:pt idx="121">
                  <c:v>102.52592355107073</c:v>
                </c:pt>
                <c:pt idx="122">
                  <c:v>128.17318362278436</c:v>
                </c:pt>
                <c:pt idx="123">
                  <c:v>157.20014312970585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621440"/>
        <c:axId val="112622976"/>
      </c:scatterChart>
      <c:valAx>
        <c:axId val="11262144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22976"/>
        <c:crosses val="autoZero"/>
        <c:crossBetween val="midCat"/>
      </c:valAx>
      <c:valAx>
        <c:axId val="11262297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12621440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11</xdr:row>
      <xdr:rowOff>22860</xdr:rowOff>
    </xdr:from>
    <xdr:to>
      <xdr:col>15</xdr:col>
      <xdr:colOff>152400</xdr:colOff>
      <xdr:row>43</xdr:row>
      <xdr:rowOff>0</xdr:rowOff>
    </xdr:to>
    <xdr:graphicFrame macro="">
      <xdr:nvGraphicFramePr>
        <xdr:cNvPr id="31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91440</xdr:colOff>
      <xdr:row>59</xdr:row>
      <xdr:rowOff>160020</xdr:rowOff>
    </xdr:from>
    <xdr:to>
      <xdr:col>8</xdr:col>
      <xdr:colOff>22860</xdr:colOff>
      <xdr:row>63</xdr:row>
      <xdr:rowOff>38100</xdr:rowOff>
    </xdr:to>
    <xdr:pic>
      <xdr:nvPicPr>
        <xdr:cNvPr id="1125" name="Picture 1" descr="image proportion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1040" y="8069580"/>
          <a:ext cx="4244340" cy="548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220980</xdr:colOff>
      <xdr:row>47</xdr:row>
      <xdr:rowOff>45720</xdr:rowOff>
    </xdr:from>
    <xdr:to>
      <xdr:col>8</xdr:col>
      <xdr:colOff>327660</xdr:colOff>
      <xdr:row>58</xdr:row>
      <xdr:rowOff>160020</xdr:rowOff>
    </xdr:to>
    <xdr:pic>
      <xdr:nvPicPr>
        <xdr:cNvPr id="1126" name="Picture 2" descr="lens focal length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980" y="5943600"/>
          <a:ext cx="5029200" cy="19583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7</xdr:row>
      <xdr:rowOff>0</xdr:rowOff>
    </xdr:from>
    <xdr:to>
      <xdr:col>10</xdr:col>
      <xdr:colOff>419100</xdr:colOff>
      <xdr:row>15</xdr:row>
      <xdr:rowOff>45720</xdr:rowOff>
    </xdr:to>
    <xdr:pic>
      <xdr:nvPicPr>
        <xdr:cNvPr id="54277" name="Picture 2" descr="t-pad2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1173480"/>
          <a:ext cx="2857500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10</xdr:col>
      <xdr:colOff>419100</xdr:colOff>
      <xdr:row>28</xdr:row>
      <xdr:rowOff>45720</xdr:rowOff>
    </xdr:to>
    <xdr:pic>
      <xdr:nvPicPr>
        <xdr:cNvPr id="54278" name="Picture 3" descr="h-pad2.gif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4800" y="3352800"/>
          <a:ext cx="2857500" cy="1386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V%20Math%20InfoComm%201101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J Calc"/>
      <sheetName val="Ohms Law"/>
      <sheetName val="Ceiling Spkr"/>
      <sheetName val="Z Values"/>
      <sheetName val="Wavelength"/>
      <sheetName val="Room Mode"/>
      <sheetName val="RT60"/>
      <sheetName val="Decibels"/>
      <sheetName val="Lens"/>
      <sheetName val="Conduit"/>
      <sheetName val="Cable"/>
      <sheetName val="Encoding"/>
      <sheetName val="ACU"/>
      <sheetName val="EP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6">
          <cell r="F6">
            <v>1</v>
          </cell>
          <cell r="G6" t="str">
            <v>- heavy on concrete</v>
          </cell>
          <cell r="H6">
            <v>0.02</v>
          </cell>
          <cell r="I6">
            <v>0.06</v>
          </cell>
          <cell r="J6">
            <v>0.14000000000000001</v>
          </cell>
          <cell r="K6">
            <v>0.37</v>
          </cell>
          <cell r="L6">
            <v>0.6</v>
          </cell>
          <cell r="M6">
            <v>0.65</v>
          </cell>
        </row>
        <row r="7">
          <cell r="F7">
            <v>2</v>
          </cell>
          <cell r="G7" t="str">
            <v>- heavy on 40oz hair felt</v>
          </cell>
          <cell r="H7">
            <v>0.08</v>
          </cell>
          <cell r="I7">
            <v>0.24</v>
          </cell>
          <cell r="J7">
            <v>0.56999999999999995</v>
          </cell>
          <cell r="K7">
            <v>0.69</v>
          </cell>
          <cell r="L7">
            <v>0.71</v>
          </cell>
          <cell r="M7">
            <v>0.73</v>
          </cell>
        </row>
        <row r="8">
          <cell r="F8">
            <v>3</v>
          </cell>
          <cell r="G8" t="str">
            <v>- heavy with latex backin on foam or 40hz hair felt</v>
          </cell>
          <cell r="H8">
            <v>0.08</v>
          </cell>
          <cell r="I8">
            <v>0.27</v>
          </cell>
          <cell r="J8">
            <v>0.39</v>
          </cell>
          <cell r="K8">
            <v>0.34</v>
          </cell>
          <cell r="L8">
            <v>0.48</v>
          </cell>
          <cell r="M8">
            <v>0.63</v>
          </cell>
        </row>
        <row r="9">
          <cell r="F9">
            <v>4</v>
          </cell>
          <cell r="G9" t="str">
            <v>- outdoor/indoor</v>
          </cell>
          <cell r="H9">
            <v>0.01</v>
          </cell>
          <cell r="I9">
            <v>0.05</v>
          </cell>
          <cell r="J9">
            <v>0.1</v>
          </cell>
          <cell r="K9">
            <v>0.2</v>
          </cell>
          <cell r="L9">
            <v>0.45</v>
          </cell>
          <cell r="M9">
            <v>0.65</v>
          </cell>
        </row>
        <row r="10">
          <cell r="F10">
            <v>5</v>
          </cell>
          <cell r="G10" t="str">
            <v>Wood Floor</v>
          </cell>
          <cell r="H10">
            <v>0.15</v>
          </cell>
          <cell r="I10">
            <v>0.11</v>
          </cell>
          <cell r="J10">
            <v>0.1</v>
          </cell>
          <cell r="K10">
            <v>7.0000000000000007E-2</v>
          </cell>
          <cell r="L10">
            <v>0.06</v>
          </cell>
          <cell r="M10">
            <v>7.0000000000000007E-2</v>
          </cell>
        </row>
        <row r="11">
          <cell r="F11">
            <v>6</v>
          </cell>
          <cell r="G11" t="str">
            <v>Concrete Floor</v>
          </cell>
          <cell r="H11">
            <v>0.01</v>
          </cell>
          <cell r="I11">
            <v>0.01</v>
          </cell>
          <cell r="J11">
            <v>1.4999999999999999E-2</v>
          </cell>
          <cell r="K11">
            <v>0.02</v>
          </cell>
          <cell r="L11">
            <v>0.02</v>
          </cell>
          <cell r="M11">
            <v>0.02</v>
          </cell>
        </row>
        <row r="14">
          <cell r="F14">
            <v>7</v>
          </cell>
          <cell r="G14" t="str">
            <v>Linoleum, Asphalt-tile, or cork tile on concrete</v>
          </cell>
          <cell r="H14">
            <v>0.02</v>
          </cell>
          <cell r="I14">
            <v>0.03</v>
          </cell>
          <cell r="J14">
            <v>0.03</v>
          </cell>
          <cell r="K14">
            <v>0.03</v>
          </cell>
          <cell r="L14">
            <v>0.03</v>
          </cell>
          <cell r="M14">
            <v>0.02</v>
          </cell>
        </row>
        <row r="15">
          <cell r="F15">
            <v>8</v>
          </cell>
          <cell r="G15" t="str">
            <v>Foam backed carpet on concrete</v>
          </cell>
          <cell r="H15">
            <v>0.05</v>
          </cell>
          <cell r="I15">
            <v>0.16</v>
          </cell>
          <cell r="J15">
            <v>0.44</v>
          </cell>
          <cell r="K15">
            <v>0.7</v>
          </cell>
          <cell r="L15">
            <v>0.6</v>
          </cell>
          <cell r="M15">
            <v>0.4</v>
          </cell>
        </row>
        <row r="16">
          <cell r="F16">
            <v>9</v>
          </cell>
          <cell r="G16" t="str">
            <v>Heavy carpet + heavy foam underlay on concrete</v>
          </cell>
          <cell r="H16">
            <v>0.15</v>
          </cell>
          <cell r="I16">
            <v>0.25</v>
          </cell>
          <cell r="J16">
            <v>0.5</v>
          </cell>
          <cell r="K16">
            <v>0.6</v>
          </cell>
          <cell r="L16">
            <v>0.7</v>
          </cell>
          <cell r="M16">
            <v>0.8</v>
          </cell>
        </row>
        <row r="17">
          <cell r="F17">
            <v>10</v>
          </cell>
          <cell r="G17" t="str">
            <v>Vinyl flooring</v>
          </cell>
          <cell r="H17">
            <v>0.03</v>
          </cell>
          <cell r="I17">
            <v>0.04</v>
          </cell>
          <cell r="J17">
            <v>0.05</v>
          </cell>
          <cell r="K17">
            <v>0.04</v>
          </cell>
          <cell r="L17">
            <v>0.05</v>
          </cell>
          <cell r="M17">
            <v>0.05</v>
          </cell>
        </row>
        <row r="19">
          <cell r="F19">
            <v>11</v>
          </cell>
          <cell r="G19" t="str">
            <v>Gypsum board: 1/2" on 2 x 4s, 16" on centers (plasterboard)</v>
          </cell>
          <cell r="H19">
            <v>0.28999999999999998</v>
          </cell>
          <cell r="I19">
            <v>0.1</v>
          </cell>
          <cell r="J19">
            <v>0.05</v>
          </cell>
          <cell r="K19">
            <v>0.04</v>
          </cell>
          <cell r="L19">
            <v>7.0000000000000007E-2</v>
          </cell>
          <cell r="M19">
            <v>0.09</v>
          </cell>
        </row>
        <row r="20">
          <cell r="F20">
            <v>12</v>
          </cell>
          <cell r="G20" t="str">
            <v>9mm Plasterboard over 20mm air gap</v>
          </cell>
          <cell r="H20">
            <v>0.3</v>
          </cell>
          <cell r="I20">
            <v>0.2</v>
          </cell>
          <cell r="J20">
            <v>0.15</v>
          </cell>
          <cell r="K20">
            <v>0.05</v>
          </cell>
          <cell r="L20">
            <v>0.05</v>
          </cell>
          <cell r="M20">
            <v>0.05</v>
          </cell>
        </row>
        <row r="21">
          <cell r="F21">
            <v>13</v>
          </cell>
          <cell r="G21" t="str">
            <v>Plaster, gypsum or lime smooth finish on tile or brick</v>
          </cell>
          <cell r="H21">
            <v>1.2999999999999999E-2</v>
          </cell>
          <cell r="I21">
            <v>1.4999999999999999E-2</v>
          </cell>
          <cell r="J21">
            <v>0.02</v>
          </cell>
          <cell r="K21">
            <v>0.03</v>
          </cell>
          <cell r="L21">
            <v>0.04</v>
          </cell>
          <cell r="M21">
            <v>0.05</v>
          </cell>
        </row>
        <row r="22">
          <cell r="F22">
            <v>14</v>
          </cell>
          <cell r="G22" t="str">
            <v>Plaster: gypsum or lime, smooth finish on lath</v>
          </cell>
          <cell r="H22">
            <v>0.14000000000000001</v>
          </cell>
          <cell r="I22">
            <v>0.1</v>
          </cell>
          <cell r="J22">
            <v>0.06</v>
          </cell>
          <cell r="K22">
            <v>0.05</v>
          </cell>
          <cell r="L22">
            <v>0.04</v>
          </cell>
          <cell r="M22">
            <v>0.03</v>
          </cell>
        </row>
        <row r="23">
          <cell r="F23">
            <v>15</v>
          </cell>
          <cell r="G23" t="str">
            <v>Concrete Block, course</v>
          </cell>
          <cell r="H23">
            <v>0.36</v>
          </cell>
          <cell r="I23">
            <v>0.44</v>
          </cell>
          <cell r="J23">
            <v>0.31</v>
          </cell>
          <cell r="K23">
            <v>0.28999999999999998</v>
          </cell>
          <cell r="L23">
            <v>0.39</v>
          </cell>
          <cell r="M23">
            <v>0.25</v>
          </cell>
        </row>
        <row r="26">
          <cell r="F26">
            <v>16</v>
          </cell>
          <cell r="G26" t="str">
            <v>Concrete Block, painted</v>
          </cell>
          <cell r="H26">
            <v>0.1</v>
          </cell>
          <cell r="I26">
            <v>0.05</v>
          </cell>
          <cell r="J26">
            <v>0.06</v>
          </cell>
          <cell r="K26">
            <v>7.0000000000000007E-2</v>
          </cell>
          <cell r="L26">
            <v>0.09</v>
          </cell>
          <cell r="M26">
            <v>0.08</v>
          </cell>
        </row>
        <row r="27">
          <cell r="F27">
            <v>17</v>
          </cell>
          <cell r="G27" t="str">
            <v>Plaster on brick</v>
          </cell>
          <cell r="H27">
            <v>1.2999999999999999E-2</v>
          </cell>
          <cell r="I27">
            <v>1.4999999999999999E-2</v>
          </cell>
          <cell r="J27">
            <v>0.02</v>
          </cell>
          <cell r="K27">
            <v>0.03</v>
          </cell>
          <cell r="L27">
            <v>0.04</v>
          </cell>
          <cell r="M27">
            <v>0.05</v>
          </cell>
        </row>
        <row r="28">
          <cell r="F28">
            <v>18</v>
          </cell>
          <cell r="G28" t="str">
            <v>Brickwork</v>
          </cell>
          <cell r="H28">
            <v>0.05</v>
          </cell>
          <cell r="I28">
            <v>0.04</v>
          </cell>
          <cell r="J28">
            <v>0.02</v>
          </cell>
          <cell r="K28">
            <v>0.04</v>
          </cell>
          <cell r="L28">
            <v>0.05</v>
          </cell>
          <cell r="M28">
            <v>0.05</v>
          </cell>
        </row>
        <row r="30">
          <cell r="F30">
            <v>19</v>
          </cell>
          <cell r="G30" t="str">
            <v>Owens-Corning Frescor, painted, 5/8" thick Mounting 7 Drop Ceiling</v>
          </cell>
          <cell r="H30">
            <v>0.69</v>
          </cell>
          <cell r="I30">
            <v>0.86</v>
          </cell>
          <cell r="J30">
            <v>0.68</v>
          </cell>
          <cell r="K30">
            <v>0.87</v>
          </cell>
          <cell r="L30">
            <v>0.9</v>
          </cell>
          <cell r="M30">
            <v>0.81</v>
          </cell>
        </row>
        <row r="32">
          <cell r="G32" t="str">
            <v>Drapes cotton 14oz/sq yd</v>
          </cell>
        </row>
        <row r="33">
          <cell r="F33">
            <v>20</v>
          </cell>
          <cell r="G33" t="str">
            <v>- draped to 7/8 area</v>
          </cell>
          <cell r="H33">
            <v>0.03</v>
          </cell>
          <cell r="I33">
            <v>0.12</v>
          </cell>
          <cell r="J33">
            <v>0.15</v>
          </cell>
          <cell r="K33">
            <v>0.27</v>
          </cell>
          <cell r="L33">
            <v>0.37</v>
          </cell>
          <cell r="M33">
            <v>0.42</v>
          </cell>
        </row>
        <row r="34">
          <cell r="F34">
            <v>21</v>
          </cell>
          <cell r="G34" t="str">
            <v>- draped to 3/4 area</v>
          </cell>
          <cell r="H34">
            <v>0.04</v>
          </cell>
          <cell r="I34">
            <v>0.23</v>
          </cell>
          <cell r="J34">
            <v>0.4</v>
          </cell>
          <cell r="K34">
            <v>0.56999999999999995</v>
          </cell>
          <cell r="L34">
            <v>0.53</v>
          </cell>
          <cell r="M34">
            <v>0.4</v>
          </cell>
        </row>
        <row r="35">
          <cell r="F35">
            <v>22</v>
          </cell>
          <cell r="G35" t="str">
            <v>- draped to 1/2 area</v>
          </cell>
          <cell r="H35">
            <v>7.0000000000000007E-2</v>
          </cell>
          <cell r="I35">
            <v>0.37</v>
          </cell>
          <cell r="J35">
            <v>0.49</v>
          </cell>
          <cell r="K35">
            <v>0.81</v>
          </cell>
          <cell r="L35">
            <v>0.65</v>
          </cell>
          <cell r="M35">
            <v>0.54</v>
          </cell>
        </row>
        <row r="36">
          <cell r="F36">
            <v>23</v>
          </cell>
          <cell r="G36" t="str">
            <v>Cotton drapes draped to half area. 15oz/sq yd</v>
          </cell>
          <cell r="H36">
            <v>7.0000000000000007E-2</v>
          </cell>
          <cell r="I36">
            <v>0.37</v>
          </cell>
          <cell r="J36">
            <v>0.49</v>
          </cell>
          <cell r="K36">
            <v>0.81</v>
          </cell>
          <cell r="L36">
            <v>0.65</v>
          </cell>
          <cell r="M36">
            <v>0.54</v>
          </cell>
        </row>
        <row r="37">
          <cell r="F37">
            <v>24</v>
          </cell>
          <cell r="G37" t="str">
            <v>Drapes medium velor, 18oz sq yd draped to 1/2 area</v>
          </cell>
          <cell r="H37">
            <v>0.14000000000000001</v>
          </cell>
          <cell r="I37">
            <v>0.35</v>
          </cell>
          <cell r="J37">
            <v>0.55000000000000004</v>
          </cell>
          <cell r="K37">
            <v>0.72</v>
          </cell>
          <cell r="L37">
            <v>0.7</v>
          </cell>
          <cell r="M37">
            <v>0.65</v>
          </cell>
        </row>
        <row r="39">
          <cell r="F39">
            <v>25</v>
          </cell>
          <cell r="G39" t="str">
            <v>Acoustical tile, average 1/2" thick</v>
          </cell>
          <cell r="H39">
            <v>7.0000000000000007E-2</v>
          </cell>
          <cell r="I39">
            <v>0.21</v>
          </cell>
          <cell r="J39">
            <v>0.66</v>
          </cell>
          <cell r="K39">
            <v>0.75</v>
          </cell>
          <cell r="L39">
            <v>0.62</v>
          </cell>
          <cell r="M39">
            <v>0.49</v>
          </cell>
        </row>
        <row r="40">
          <cell r="F40">
            <v>26</v>
          </cell>
          <cell r="G40" t="str">
            <v>Acoustical tile, average 3/4" thick</v>
          </cell>
          <cell r="H40">
            <v>0.09</v>
          </cell>
          <cell r="I40">
            <v>0.28000000000000003</v>
          </cell>
          <cell r="J40">
            <v>0.78</v>
          </cell>
          <cell r="K40">
            <v>0.84</v>
          </cell>
          <cell r="L40">
            <v>0.73</v>
          </cell>
          <cell r="M40">
            <v>0.64</v>
          </cell>
        </row>
        <row r="41">
          <cell r="F41">
            <v>27</v>
          </cell>
          <cell r="G41" t="str">
            <v>50mm Acoustic Foam</v>
          </cell>
          <cell r="H41">
            <v>0.08</v>
          </cell>
          <cell r="I41">
            <v>0.25</v>
          </cell>
          <cell r="J41">
            <v>0.6</v>
          </cell>
          <cell r="K41">
            <v>0.9</v>
          </cell>
          <cell r="L41">
            <v>0.95</v>
          </cell>
          <cell r="M41">
            <v>0.9</v>
          </cell>
        </row>
        <row r="42">
          <cell r="F42">
            <v>28</v>
          </cell>
          <cell r="G42" t="str">
            <v>100mm Acoustic Foam</v>
          </cell>
          <cell r="H42">
            <v>0.2</v>
          </cell>
          <cell r="I42">
            <v>0.7</v>
          </cell>
          <cell r="J42">
            <v>0.99</v>
          </cell>
          <cell r="K42">
            <v>0.99</v>
          </cell>
          <cell r="L42">
            <v>0.99</v>
          </cell>
          <cell r="M42">
            <v>0.99</v>
          </cell>
        </row>
        <row r="43">
          <cell r="F43">
            <v>29</v>
          </cell>
          <cell r="G43" t="str">
            <v>50mm Mineral Wool (Med Density)</v>
          </cell>
          <cell r="H43">
            <v>0.2</v>
          </cell>
          <cell r="I43">
            <v>0.45</v>
          </cell>
          <cell r="J43">
            <v>0.7</v>
          </cell>
          <cell r="K43">
            <v>0.8</v>
          </cell>
          <cell r="L43">
            <v>0.8</v>
          </cell>
          <cell r="M43">
            <v>0.8</v>
          </cell>
        </row>
        <row r="45">
          <cell r="F45">
            <v>30</v>
          </cell>
          <cell r="G45" t="str">
            <v>Plate glass</v>
          </cell>
          <cell r="H45">
            <v>0.18</v>
          </cell>
          <cell r="I45">
            <v>0.06</v>
          </cell>
          <cell r="J45">
            <v>0.04</v>
          </cell>
          <cell r="K45">
            <v>0.03</v>
          </cell>
          <cell r="L45">
            <v>0.02</v>
          </cell>
          <cell r="M45">
            <v>0.02</v>
          </cell>
        </row>
        <row r="46">
          <cell r="F46">
            <v>31</v>
          </cell>
          <cell r="G46" t="str">
            <v>6mm glass</v>
          </cell>
          <cell r="H46">
            <v>0.1</v>
          </cell>
          <cell r="I46">
            <v>0.06</v>
          </cell>
          <cell r="J46">
            <v>0.04</v>
          </cell>
          <cell r="K46">
            <v>0.03</v>
          </cell>
          <cell r="L46">
            <v>0.02</v>
          </cell>
          <cell r="M46">
            <v>0.02</v>
          </cell>
        </row>
        <row r="47">
          <cell r="F47">
            <v>32</v>
          </cell>
          <cell r="G47" t="str">
            <v>Window glass</v>
          </cell>
          <cell r="H47">
            <v>0.35</v>
          </cell>
          <cell r="I47">
            <v>0.25</v>
          </cell>
          <cell r="J47">
            <v>0.18</v>
          </cell>
          <cell r="K47">
            <v>0.12</v>
          </cell>
          <cell r="L47">
            <v>7.0000000000000007E-2</v>
          </cell>
          <cell r="M47">
            <v>0.04</v>
          </cell>
        </row>
        <row r="49">
          <cell r="F49">
            <v>33</v>
          </cell>
          <cell r="G49" t="str">
            <v>Breeze block</v>
          </cell>
          <cell r="H49">
            <v>0.25</v>
          </cell>
          <cell r="I49">
            <v>0.4</v>
          </cell>
          <cell r="J49">
            <v>0.6</v>
          </cell>
          <cell r="K49">
            <v>0.5</v>
          </cell>
          <cell r="L49">
            <v>0.75</v>
          </cell>
          <cell r="M49">
            <v>0.5</v>
          </cell>
        </row>
        <row r="50">
          <cell r="F50">
            <v>34</v>
          </cell>
          <cell r="G50" t="str">
            <v>LF panel absorber</v>
          </cell>
          <cell r="H50">
            <v>0.28000000000000003</v>
          </cell>
          <cell r="I50">
            <v>0.22</v>
          </cell>
          <cell r="J50">
            <v>0.17</v>
          </cell>
          <cell r="K50">
            <v>0.09</v>
          </cell>
          <cell r="L50">
            <v>0.1</v>
          </cell>
          <cell r="M50">
            <v>0.11</v>
          </cell>
        </row>
        <row r="51">
          <cell r="F51">
            <v>35</v>
          </cell>
          <cell r="G51" t="str">
            <v>Perforated Helmholz absorber, 4-inch depth, mineral wool damping, 0.79% perforation.</v>
          </cell>
          <cell r="H51">
            <v>0.4</v>
          </cell>
          <cell r="I51">
            <v>0.84</v>
          </cell>
          <cell r="J51">
            <v>0.4</v>
          </cell>
          <cell r="K51">
            <v>0.16</v>
          </cell>
          <cell r="L51">
            <v>0.14000000000000001</v>
          </cell>
          <cell r="M51">
            <v>0.12</v>
          </cell>
        </row>
        <row r="52">
          <cell r="F52">
            <v>36</v>
          </cell>
          <cell r="G52" t="str">
            <v>Perforated Helmholz absorber,8-inch depth, mineral wool damping, 0.79% perforation.</v>
          </cell>
          <cell r="H52">
            <v>0.98</v>
          </cell>
          <cell r="I52">
            <v>0.88</v>
          </cell>
          <cell r="J52">
            <v>0.52</v>
          </cell>
          <cell r="K52">
            <v>0.21</v>
          </cell>
          <cell r="L52">
            <v>0.16</v>
          </cell>
          <cell r="M52">
            <v>0.14000000000000001</v>
          </cell>
        </row>
        <row r="53">
          <cell r="F53">
            <v>37</v>
          </cell>
          <cell r="G53" t="str">
            <v>Broad-band absorber, 1-inch fibreglass slab at mouth of 7-inch deep cavity</v>
          </cell>
          <cell r="H53">
            <v>0.67</v>
          </cell>
          <cell r="I53">
            <v>0.98</v>
          </cell>
          <cell r="J53">
            <v>0.98</v>
          </cell>
          <cell r="K53">
            <v>0.93</v>
          </cell>
          <cell r="L53">
            <v>0.98</v>
          </cell>
          <cell r="M53">
            <v>0.96</v>
          </cell>
        </row>
        <row r="55">
          <cell r="F55">
            <v>38</v>
          </cell>
          <cell r="G55" t="str">
            <v>Padded seat (unoccupied)</v>
          </cell>
          <cell r="H55">
            <v>0.1</v>
          </cell>
          <cell r="I55">
            <v>0.2</v>
          </cell>
          <cell r="J55">
            <v>0.25</v>
          </cell>
          <cell r="K55">
            <v>0.3</v>
          </cell>
          <cell r="L55">
            <v>0.4</v>
          </cell>
          <cell r="M55">
            <v>0.3</v>
          </cell>
        </row>
        <row r="56">
          <cell r="F56">
            <v>39</v>
          </cell>
          <cell r="G56" t="str">
            <v>College students informally dressed seated in tablet arm chairs (per person)</v>
          </cell>
          <cell r="H56">
            <v>2.1</v>
          </cell>
          <cell r="I56">
            <v>2.5</v>
          </cell>
          <cell r="J56">
            <v>2.9</v>
          </cell>
          <cell r="K56">
            <v>5</v>
          </cell>
          <cell r="L56">
            <v>5.2</v>
          </cell>
          <cell r="M56">
            <v>5</v>
          </cell>
        </row>
        <row r="57">
          <cell r="F57">
            <v>40</v>
          </cell>
          <cell r="G57" t="str">
            <v>Audience seated, depending on spacing and upholstry of seats (per person)</v>
          </cell>
          <cell r="H57">
            <v>2.5</v>
          </cell>
          <cell r="I57">
            <v>3.5</v>
          </cell>
          <cell r="J57">
            <v>4</v>
          </cell>
          <cell r="K57">
            <v>4.5</v>
          </cell>
          <cell r="L57">
            <v>5</v>
          </cell>
          <cell r="M57">
            <v>4.5</v>
          </cell>
        </row>
        <row r="58">
          <cell r="F58">
            <v>41</v>
          </cell>
          <cell r="G58" t="str">
            <v>Audience seated, depending on spacing and upholstry of seats (per person)</v>
          </cell>
          <cell r="H58">
            <v>4</v>
          </cell>
          <cell r="I58">
            <v>5</v>
          </cell>
          <cell r="J58">
            <v>5.5</v>
          </cell>
          <cell r="K58">
            <v>6.5</v>
          </cell>
          <cell r="L58">
            <v>7</v>
          </cell>
          <cell r="M58">
            <v>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SPL@ear@0%20degrees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abSelected="1" zoomScaleNormal="100" workbookViewId="0">
      <selection activeCell="D12" sqref="D12"/>
    </sheetView>
  </sheetViews>
  <sheetFormatPr defaultRowHeight="13.2" x14ac:dyDescent="0.25"/>
  <cols>
    <col min="1" max="1" width="5.6640625" customWidth="1"/>
    <col min="2" max="2" width="9.33203125" customWidth="1"/>
    <col min="3" max="3" width="8.88671875" style="1" customWidth="1"/>
    <col min="4" max="4" width="10.33203125" bestFit="1" customWidth="1"/>
    <col min="5" max="7" width="9.33203125" bestFit="1" customWidth="1"/>
    <col min="9" max="9" width="9.44140625" bestFit="1" customWidth="1"/>
    <col min="10" max="11" width="9.33203125" bestFit="1" customWidth="1"/>
  </cols>
  <sheetData>
    <row r="1" spans="1:11" ht="17.399999999999999" x14ac:dyDescent="0.3">
      <c r="A1" s="132" t="s">
        <v>20</v>
      </c>
      <c r="B1" s="132"/>
      <c r="C1" s="132"/>
      <c r="D1" s="132"/>
      <c r="E1" s="132"/>
      <c r="F1" s="132"/>
      <c r="G1" s="132"/>
      <c r="H1" s="132"/>
      <c r="I1" s="132"/>
      <c r="J1" s="132"/>
    </row>
    <row r="3" spans="1:11" x14ac:dyDescent="0.25">
      <c r="A3" s="4" t="s">
        <v>21</v>
      </c>
    </row>
    <row r="4" spans="1:11" x14ac:dyDescent="0.25">
      <c r="B4" t="s">
        <v>2</v>
      </c>
    </row>
    <row r="5" spans="1:11" x14ac:dyDescent="0.25">
      <c r="B5" t="s">
        <v>4</v>
      </c>
    </row>
    <row r="6" spans="1:11" x14ac:dyDescent="0.25">
      <c r="B6" t="s">
        <v>3</v>
      </c>
    </row>
    <row r="7" spans="1:11" x14ac:dyDescent="0.25">
      <c r="B7" t="s">
        <v>5</v>
      </c>
    </row>
    <row r="8" spans="1:11" x14ac:dyDescent="0.25">
      <c r="B8" t="s">
        <v>652</v>
      </c>
    </row>
    <row r="11" spans="1:11" x14ac:dyDescent="0.25">
      <c r="B11" s="133" t="s">
        <v>26</v>
      </c>
      <c r="C11" s="133"/>
      <c r="D11" s="133"/>
      <c r="E11" s="133"/>
      <c r="F11" s="133"/>
      <c r="G11" s="133" t="s">
        <v>25</v>
      </c>
      <c r="H11" s="133"/>
      <c r="I11" s="133"/>
      <c r="J11" s="133"/>
      <c r="K11" s="133"/>
    </row>
    <row r="12" spans="1:11" x14ac:dyDescent="0.25">
      <c r="C12" s="1" t="s">
        <v>0</v>
      </c>
      <c r="D12" s="3">
        <v>60</v>
      </c>
      <c r="E12" t="s">
        <v>13</v>
      </c>
      <c r="H12" s="1" t="s">
        <v>0</v>
      </c>
      <c r="I12" s="3">
        <v>60</v>
      </c>
      <c r="J12" t="s">
        <v>13</v>
      </c>
    </row>
    <row r="13" spans="1:11" x14ac:dyDescent="0.25">
      <c r="C13" s="1" t="s">
        <v>1</v>
      </c>
      <c r="D13" s="3">
        <v>80</v>
      </c>
      <c r="E13" t="s">
        <v>13</v>
      </c>
      <c r="H13" s="1" t="s">
        <v>1</v>
      </c>
      <c r="I13" s="3">
        <v>80</v>
      </c>
      <c r="J13" t="s">
        <v>13</v>
      </c>
    </row>
    <row r="14" spans="1:11" x14ac:dyDescent="0.25">
      <c r="C14" s="1" t="s">
        <v>30</v>
      </c>
      <c r="D14" s="3">
        <v>1.5</v>
      </c>
      <c r="E14" t="s">
        <v>31</v>
      </c>
      <c r="H14" s="1" t="s">
        <v>30</v>
      </c>
      <c r="I14" s="3">
        <v>1.5</v>
      </c>
      <c r="J14" t="s">
        <v>31</v>
      </c>
    </row>
    <row r="15" spans="1:11" x14ac:dyDescent="0.25">
      <c r="C15" s="1" t="s">
        <v>7</v>
      </c>
      <c r="D15" s="3">
        <v>25</v>
      </c>
      <c r="E15" t="s">
        <v>14</v>
      </c>
      <c r="H15" s="1" t="s">
        <v>7</v>
      </c>
      <c r="I15" s="3">
        <v>25</v>
      </c>
      <c r="J15" t="s">
        <v>14</v>
      </c>
    </row>
    <row r="16" spans="1:11" x14ac:dyDescent="0.25">
      <c r="C16" s="1" t="s">
        <v>6</v>
      </c>
      <c r="D16" s="3">
        <v>2000</v>
      </c>
      <c r="E16" t="s">
        <v>15</v>
      </c>
      <c r="H16" s="1" t="s">
        <v>8</v>
      </c>
      <c r="I16" s="3">
        <v>70</v>
      </c>
      <c r="J16" t="s">
        <v>17</v>
      </c>
    </row>
    <row r="17" spans="2:10" x14ac:dyDescent="0.25">
      <c r="C17" s="1" t="s">
        <v>583</v>
      </c>
      <c r="D17" s="87">
        <v>15</v>
      </c>
      <c r="E17" t="s">
        <v>582</v>
      </c>
      <c r="H17" s="1"/>
    </row>
    <row r="18" spans="2:10" x14ac:dyDescent="0.25">
      <c r="H18" s="1"/>
    </row>
    <row r="19" spans="2:10" x14ac:dyDescent="0.25">
      <c r="D19" s="2"/>
      <c r="I19" s="2"/>
    </row>
    <row r="20" spans="2:10" x14ac:dyDescent="0.25">
      <c r="C20" s="1" t="s">
        <v>22</v>
      </c>
      <c r="D20" s="2">
        <f>((D16*((100-D15)/100))/D14)/((D12*0.0254)*(D13*0.0254))</f>
        <v>322.91731250129169</v>
      </c>
      <c r="E20" t="s">
        <v>16</v>
      </c>
      <c r="H20" s="1" t="s">
        <v>9</v>
      </c>
      <c r="I20" s="2">
        <f>(((I16*((I12*0.0254)*(I13*0.0254)))/I14)/((100-I15)/100))*3</f>
        <v>578.06335999999999</v>
      </c>
      <c r="J20" t="s">
        <v>23</v>
      </c>
    </row>
    <row r="21" spans="2:10" x14ac:dyDescent="0.25">
      <c r="C21" s="1" t="s">
        <v>11</v>
      </c>
      <c r="D21" s="2">
        <f>D20*3</f>
        <v>968.75193750387507</v>
      </c>
      <c r="E21" t="s">
        <v>16</v>
      </c>
      <c r="H21" s="1" t="s">
        <v>10</v>
      </c>
      <c r="I21" s="2">
        <f>(((I16*((I12*0.0254)*(I13*0.0254)))/I14)/((100-I15)/100))/3</f>
        <v>64.229262222222218</v>
      </c>
      <c r="J21" t="s">
        <v>23</v>
      </c>
    </row>
    <row r="22" spans="2:10" x14ac:dyDescent="0.25">
      <c r="C22" s="1" t="s">
        <v>12</v>
      </c>
      <c r="D22" s="2">
        <f>D20/3</f>
        <v>107.63910416709723</v>
      </c>
      <c r="E22" t="s">
        <v>16</v>
      </c>
      <c r="I22" s="2"/>
    </row>
    <row r="24" spans="2:10" x14ac:dyDescent="0.25">
      <c r="C24" s="1" t="s">
        <v>24</v>
      </c>
      <c r="D24" s="2">
        <f>D20/D17</f>
        <v>21.527820833419447</v>
      </c>
      <c r="E24" t="s">
        <v>16</v>
      </c>
      <c r="H24" s="1" t="s">
        <v>18</v>
      </c>
      <c r="I24" s="2">
        <f>((I20*((100-I15)/100))/((I12*0.0254)*(I13*0.0254)))</f>
        <v>140</v>
      </c>
      <c r="J24" t="s">
        <v>16</v>
      </c>
    </row>
    <row r="25" spans="2:10" x14ac:dyDescent="0.25">
      <c r="D25" s="2"/>
      <c r="H25" s="1" t="s">
        <v>19</v>
      </c>
      <c r="I25" s="2">
        <f>((I21*((100-I15)/100))/((I12*0.0254)*(I13*0.0254)))</f>
        <v>15.555555555555555</v>
      </c>
      <c r="J25" t="s">
        <v>16</v>
      </c>
    </row>
    <row r="28" spans="2:10" x14ac:dyDescent="0.25">
      <c r="B28" s="133" t="s">
        <v>27</v>
      </c>
      <c r="C28" s="133"/>
      <c r="D28" s="133"/>
      <c r="E28" s="133"/>
      <c r="F28" s="133"/>
      <c r="H28" s="4" t="s">
        <v>33</v>
      </c>
    </row>
    <row r="29" spans="2:10" x14ac:dyDescent="0.25">
      <c r="C29" s="1" t="s">
        <v>0</v>
      </c>
      <c r="D29" s="3">
        <v>60</v>
      </c>
      <c r="E29" t="s">
        <v>13</v>
      </c>
      <c r="H29" s="1" t="s">
        <v>34</v>
      </c>
      <c r="I29" s="3">
        <v>4</v>
      </c>
      <c r="J29" t="s">
        <v>39</v>
      </c>
    </row>
    <row r="30" spans="2:10" x14ac:dyDescent="0.25">
      <c r="C30" s="1" t="s">
        <v>1</v>
      </c>
      <c r="D30" s="3">
        <v>80</v>
      </c>
      <c r="E30" t="s">
        <v>13</v>
      </c>
      <c r="H30" s="1" t="s">
        <v>35</v>
      </c>
      <c r="I30" s="3">
        <v>3</v>
      </c>
      <c r="J30" t="s">
        <v>39</v>
      </c>
    </row>
    <row r="31" spans="2:10" x14ac:dyDescent="0.25">
      <c r="C31" s="1" t="s">
        <v>30</v>
      </c>
      <c r="D31" s="3">
        <v>1</v>
      </c>
      <c r="E31" t="s">
        <v>31</v>
      </c>
      <c r="H31" s="1" t="s">
        <v>36</v>
      </c>
      <c r="I31" s="3">
        <v>100</v>
      </c>
      <c r="J31" t="s">
        <v>40</v>
      </c>
    </row>
    <row r="32" spans="2:10" x14ac:dyDescent="0.25">
      <c r="C32" s="1" t="s">
        <v>7</v>
      </c>
      <c r="D32" s="3">
        <v>25</v>
      </c>
      <c r="E32" t="s">
        <v>14</v>
      </c>
      <c r="H32" s="1" t="s">
        <v>37</v>
      </c>
      <c r="I32" s="3">
        <v>60</v>
      </c>
      <c r="J32" t="s">
        <v>40</v>
      </c>
    </row>
    <row r="33" spans="2:11" x14ac:dyDescent="0.25">
      <c r="C33" s="1" t="s">
        <v>28</v>
      </c>
      <c r="D33" s="3">
        <v>45</v>
      </c>
      <c r="E33" t="s">
        <v>17</v>
      </c>
      <c r="H33" s="1" t="s">
        <v>38</v>
      </c>
      <c r="I33" s="3">
        <v>22</v>
      </c>
      <c r="J33" t="s">
        <v>40</v>
      </c>
    </row>
    <row r="34" spans="2:11" x14ac:dyDescent="0.25">
      <c r="C34" s="1" t="s">
        <v>583</v>
      </c>
      <c r="D34" s="87">
        <v>15</v>
      </c>
      <c r="E34" t="s">
        <v>582</v>
      </c>
      <c r="H34" s="1"/>
    </row>
    <row r="35" spans="2:11" x14ac:dyDescent="0.25">
      <c r="H35" s="1" t="s">
        <v>1</v>
      </c>
      <c r="I35">
        <f>I31</f>
        <v>100</v>
      </c>
      <c r="J35">
        <f>I32*(I29/I30)</f>
        <v>80</v>
      </c>
      <c r="K35">
        <f>I33*(I29/(SQRT((I29^2)+(I30^2))))</f>
        <v>17.600000000000001</v>
      </c>
    </row>
    <row r="36" spans="2:11" x14ac:dyDescent="0.25">
      <c r="C36" s="1" t="s">
        <v>22</v>
      </c>
      <c r="D36" s="2">
        <f>(((D33*((D30*0.0254)*(D29*0.0254)))/D31)*D34)/((100-D32)/100)</f>
        <v>2787.0912000000003</v>
      </c>
      <c r="E36" t="s">
        <v>29</v>
      </c>
      <c r="H36" s="1" t="s">
        <v>0</v>
      </c>
      <c r="I36">
        <f>I31*(I30/I29)</f>
        <v>75</v>
      </c>
      <c r="J36">
        <f>I32</f>
        <v>60</v>
      </c>
      <c r="K36">
        <f>I33*(I30/(SQRT((I29^2)+(I30^2))))</f>
        <v>13.2</v>
      </c>
    </row>
    <row r="37" spans="2:11" x14ac:dyDescent="0.25">
      <c r="D37" s="2"/>
      <c r="H37" s="1" t="s">
        <v>32</v>
      </c>
      <c r="I37">
        <f>I31*(SQRT((I29^2)+(I30^2)))/I29</f>
        <v>125</v>
      </c>
      <c r="J37">
        <f>I32*(SQRT((I29^2)+(I30^2)))/I30</f>
        <v>100</v>
      </c>
      <c r="K37">
        <f>I33</f>
        <v>22</v>
      </c>
    </row>
    <row r="38" spans="2:11" x14ac:dyDescent="0.25">
      <c r="D38" s="2"/>
    </row>
    <row r="40" spans="2:11" x14ac:dyDescent="0.25">
      <c r="B40" s="1" t="s">
        <v>1</v>
      </c>
      <c r="C40" s="3">
        <v>60</v>
      </c>
      <c r="E40" s="1" t="s">
        <v>1</v>
      </c>
      <c r="F40" s="3">
        <v>80</v>
      </c>
      <c r="H40" s="1" t="s">
        <v>1</v>
      </c>
      <c r="I40">
        <f>SQRT((I42^2)-(I41^2))</f>
        <v>80</v>
      </c>
    </row>
    <row r="41" spans="2:11" x14ac:dyDescent="0.25">
      <c r="B41" s="1" t="s">
        <v>0</v>
      </c>
      <c r="C41" s="3">
        <v>40</v>
      </c>
      <c r="D41" s="2"/>
      <c r="E41" s="1" t="s">
        <v>0</v>
      </c>
      <c r="F41">
        <f>SQRT((F42^2)-(F40^2))</f>
        <v>60</v>
      </c>
      <c r="H41" s="1" t="s">
        <v>0</v>
      </c>
      <c r="I41" s="3">
        <v>60</v>
      </c>
    </row>
    <row r="42" spans="2:11" x14ac:dyDescent="0.25">
      <c r="B42" s="1" t="s">
        <v>32</v>
      </c>
      <c r="C42" s="10">
        <f>SQRT((C40^2)+(C41^2))</f>
        <v>72.111025509279784</v>
      </c>
      <c r="D42" s="2"/>
      <c r="E42" s="1" t="s">
        <v>32</v>
      </c>
      <c r="F42" s="3">
        <v>100</v>
      </c>
      <c r="H42" s="1" t="s">
        <v>32</v>
      </c>
      <c r="I42" s="3">
        <v>100</v>
      </c>
    </row>
    <row r="45" spans="2:11" x14ac:dyDescent="0.25">
      <c r="B45" s="3">
        <v>1</v>
      </c>
      <c r="C45" t="s">
        <v>107</v>
      </c>
      <c r="E45" s="3">
        <v>12</v>
      </c>
      <c r="F45" t="s">
        <v>108</v>
      </c>
    </row>
    <row r="46" spans="2:11" x14ac:dyDescent="0.25">
      <c r="B46">
        <f>B45*12</f>
        <v>12</v>
      </c>
      <c r="C46" t="s">
        <v>108</v>
      </c>
      <c r="E46">
        <f>E45/12</f>
        <v>1</v>
      </c>
      <c r="F46" t="s">
        <v>107</v>
      </c>
    </row>
    <row r="47" spans="2:11" x14ac:dyDescent="0.25">
      <c r="C47"/>
    </row>
    <row r="48" spans="2:11" x14ac:dyDescent="0.25">
      <c r="B48" s="87">
        <v>1</v>
      </c>
      <c r="C48" s="17" t="s">
        <v>612</v>
      </c>
      <c r="E48" s="45">
        <f>E49*0.0254</f>
        <v>1.0007599999999999</v>
      </c>
      <c r="F48" s="17" t="s">
        <v>612</v>
      </c>
    </row>
    <row r="49" spans="1:8" x14ac:dyDescent="0.25">
      <c r="B49" s="12">
        <f>B48*39.3700787</f>
        <v>39.370078700000001</v>
      </c>
      <c r="C49" s="17" t="s">
        <v>108</v>
      </c>
      <c r="E49" s="87">
        <v>39.4</v>
      </c>
      <c r="F49" s="17" t="s">
        <v>108</v>
      </c>
    </row>
    <row r="51" spans="1:8" x14ac:dyDescent="0.25">
      <c r="A51" s="4" t="s">
        <v>117</v>
      </c>
    </row>
    <row r="52" spans="1:8" x14ac:dyDescent="0.25">
      <c r="B52" s="3">
        <v>120</v>
      </c>
      <c r="C52" s="17" t="s">
        <v>105</v>
      </c>
      <c r="F52" s="3">
        <v>3</v>
      </c>
      <c r="G52" s="17" t="s">
        <v>106</v>
      </c>
    </row>
    <row r="53" spans="1:8" x14ac:dyDescent="0.25">
      <c r="B53">
        <f>B52/150</f>
        <v>0.8</v>
      </c>
      <c r="C53" s="17" t="s">
        <v>106</v>
      </c>
      <c r="F53">
        <f>F52*150</f>
        <v>450</v>
      </c>
      <c r="G53" s="17" t="s">
        <v>105</v>
      </c>
    </row>
    <row r="56" spans="1:8" x14ac:dyDescent="0.25">
      <c r="A56" s="4" t="s">
        <v>116</v>
      </c>
    </row>
    <row r="57" spans="1:8" x14ac:dyDescent="0.25">
      <c r="B57" s="3">
        <v>120</v>
      </c>
      <c r="C57" s="17" t="s">
        <v>105</v>
      </c>
      <c r="G57" s="3">
        <v>60</v>
      </c>
      <c r="H57" s="17" t="s">
        <v>109</v>
      </c>
    </row>
    <row r="58" spans="1:8" x14ac:dyDescent="0.25">
      <c r="B58">
        <f>B57/8</f>
        <v>15</v>
      </c>
      <c r="C58" s="17" t="s">
        <v>110</v>
      </c>
      <c r="G58">
        <f>G57*8</f>
        <v>480</v>
      </c>
      <c r="H58" s="17" t="s">
        <v>113</v>
      </c>
    </row>
    <row r="59" spans="1:8" x14ac:dyDescent="0.25">
      <c r="B59">
        <f>B57/6</f>
        <v>20</v>
      </c>
      <c r="C59" s="17" t="s">
        <v>111</v>
      </c>
      <c r="G59">
        <f>G57*6</f>
        <v>360</v>
      </c>
      <c r="H59" s="17" t="s">
        <v>114</v>
      </c>
    </row>
    <row r="60" spans="1:8" x14ac:dyDescent="0.25">
      <c r="B60">
        <f>B57/4</f>
        <v>30</v>
      </c>
      <c r="C60" s="17" t="s">
        <v>112</v>
      </c>
      <c r="G60">
        <f>G57*4</f>
        <v>240</v>
      </c>
      <c r="H60" s="17" t="s">
        <v>115</v>
      </c>
    </row>
    <row r="62" spans="1:8" x14ac:dyDescent="0.25">
      <c r="A62" s="4" t="s">
        <v>122</v>
      </c>
    </row>
    <row r="63" spans="1:8" x14ac:dyDescent="0.25">
      <c r="B63" s="3">
        <v>3</v>
      </c>
      <c r="C63" s="21" t="s">
        <v>119</v>
      </c>
    </row>
    <row r="64" spans="1:8" x14ac:dyDescent="0.25">
      <c r="B64" s="3">
        <v>60</v>
      </c>
      <c r="C64" s="21" t="s">
        <v>118</v>
      </c>
    </row>
    <row r="65" spans="1:10" x14ac:dyDescent="0.25">
      <c r="B65" s="3">
        <v>38.4</v>
      </c>
      <c r="C65" s="17" t="s">
        <v>121</v>
      </c>
    </row>
    <row r="66" spans="1:10" x14ac:dyDescent="0.25">
      <c r="B66" s="3">
        <v>768</v>
      </c>
      <c r="C66" s="21" t="s">
        <v>120</v>
      </c>
    </row>
    <row r="68" spans="1:10" x14ac:dyDescent="0.25">
      <c r="B68">
        <f>B64*B65/B66</f>
        <v>3</v>
      </c>
      <c r="C68" s="21" t="s">
        <v>119</v>
      </c>
    </row>
    <row r="69" spans="1:10" x14ac:dyDescent="0.25">
      <c r="B69">
        <f>B63*B66/B65</f>
        <v>60</v>
      </c>
      <c r="C69" s="21" t="s">
        <v>118</v>
      </c>
    </row>
    <row r="70" spans="1:10" x14ac:dyDescent="0.25">
      <c r="B70">
        <f>B63*B66/B64</f>
        <v>38.4</v>
      </c>
      <c r="C70" s="17" t="s">
        <v>121</v>
      </c>
    </row>
    <row r="71" spans="1:10" x14ac:dyDescent="0.25">
      <c r="B71">
        <f>B65*B64/B63</f>
        <v>768</v>
      </c>
      <c r="C71" s="21" t="s">
        <v>120</v>
      </c>
    </row>
    <row r="72" spans="1:10" x14ac:dyDescent="0.25">
      <c r="C72" s="17"/>
    </row>
    <row r="73" spans="1:10" x14ac:dyDescent="0.25">
      <c r="A73" s="4" t="s">
        <v>126</v>
      </c>
      <c r="C73" s="17"/>
      <c r="H73" s="4"/>
      <c r="J73" s="17"/>
    </row>
    <row r="74" spans="1:10" x14ac:dyDescent="0.25">
      <c r="B74" s="3">
        <v>48</v>
      </c>
      <c r="C74" s="17" t="s">
        <v>203</v>
      </c>
      <c r="I74" s="4"/>
      <c r="J74" s="17"/>
    </row>
    <row r="75" spans="1:10" x14ac:dyDescent="0.25">
      <c r="B75" s="3">
        <v>52</v>
      </c>
      <c r="C75" s="17" t="s">
        <v>124</v>
      </c>
      <c r="I75" s="4"/>
      <c r="J75" s="17"/>
    </row>
    <row r="76" spans="1:10" x14ac:dyDescent="0.25">
      <c r="B76" s="3">
        <v>81</v>
      </c>
      <c r="C76" s="17" t="s">
        <v>649</v>
      </c>
      <c r="I76" s="4"/>
      <c r="J76" s="17"/>
    </row>
    <row r="77" spans="1:10" x14ac:dyDescent="0.25">
      <c r="B77" s="3">
        <v>144</v>
      </c>
      <c r="C77" s="17" t="s">
        <v>123</v>
      </c>
      <c r="I77" s="4"/>
      <c r="J77" s="17"/>
    </row>
    <row r="78" spans="1:10" x14ac:dyDescent="0.25">
      <c r="B78" s="17"/>
      <c r="C78" s="17"/>
      <c r="I78" s="4"/>
      <c r="J78" s="17"/>
    </row>
    <row r="79" spans="1:10" x14ac:dyDescent="0.25">
      <c r="B79">
        <f>(B76/2)+B75-B74</f>
        <v>44.5</v>
      </c>
      <c r="C79" s="17" t="s">
        <v>651</v>
      </c>
      <c r="J79" s="17"/>
    </row>
    <row r="80" spans="1:10" x14ac:dyDescent="0.25">
      <c r="B80" s="12">
        <f>DEGREES(ATAN((B75+(B76/2)-B79)/B77))</f>
        <v>18.43494882292201</v>
      </c>
      <c r="C80" s="17" t="s">
        <v>579</v>
      </c>
      <c r="J80" s="17"/>
    </row>
    <row r="81" spans="2:10" x14ac:dyDescent="0.25">
      <c r="B81" s="160">
        <f>B79*(1/(TAN((RADIANS(15)))))</f>
        <v>166.07626093681506</v>
      </c>
      <c r="C81" s="17" t="s">
        <v>580</v>
      </c>
      <c r="J81" s="17"/>
    </row>
    <row r="82" spans="2:10" x14ac:dyDescent="0.25">
      <c r="B82" s="12"/>
      <c r="C82" s="17"/>
      <c r="J82" s="17"/>
    </row>
    <row r="83" spans="2:10" x14ac:dyDescent="0.25">
      <c r="B83">
        <f>B76+B75-B74</f>
        <v>85</v>
      </c>
      <c r="C83" s="17" t="s">
        <v>650</v>
      </c>
      <c r="J83" s="17"/>
    </row>
    <row r="84" spans="2:10" x14ac:dyDescent="0.25">
      <c r="B84" s="12">
        <f>DEGREES(ATAN((B75+B76-B79)/B77))</f>
        <v>31.574190750285322</v>
      </c>
      <c r="C84" s="17" t="s">
        <v>125</v>
      </c>
      <c r="I84" s="12"/>
      <c r="J84" s="17"/>
    </row>
    <row r="85" spans="2:10" x14ac:dyDescent="0.25">
      <c r="B85" s="160">
        <f>B83*(1/(TAN((RADIANS(30)))))</f>
        <v>147.22431864335459</v>
      </c>
      <c r="C85" s="17" t="s">
        <v>319</v>
      </c>
      <c r="I85" s="10"/>
      <c r="J85" s="17"/>
    </row>
    <row r="86" spans="2:10" ht="13.8" thickBot="1" x14ac:dyDescent="0.3">
      <c r="B86" s="12"/>
      <c r="C86" s="17"/>
    </row>
    <row r="87" spans="2:10" ht="13.8" thickBot="1" x14ac:dyDescent="0.3">
      <c r="B87" s="161">
        <f>MAX(B81,B85)</f>
        <v>166.07626093681506</v>
      </c>
      <c r="C87" s="17" t="s">
        <v>581</v>
      </c>
    </row>
  </sheetData>
  <sheetProtection sheet="1" objects="1" scenarios="1"/>
  <protectedRanges>
    <protectedRange sqref="D12:D17 I12:I16 D29:D34 I29:I33 C40:C41 F40 F42 I41:I42 B45 E45 B48 E49 F52 G57 B57 B52 B63:B66 B74:B77" name="Range1"/>
  </protectedRanges>
  <mergeCells count="4">
    <mergeCell ref="A1:J1"/>
    <mergeCell ref="B11:F11"/>
    <mergeCell ref="G11:K11"/>
    <mergeCell ref="B28:F28"/>
  </mergeCells>
  <phoneticPr fontId="3" type="noConversion"/>
  <pageMargins left="0.75" right="0.75" top="1" bottom="1" header="0.5" footer="0.5"/>
  <pageSetup scale="91" fitToHeight="2" orientation="portrait" r:id="rId1"/>
  <headerFooter alignWithMargins="0">
    <oddFooter>&amp;C©2009, InfoComm International®</oddFooter>
  </headerFooter>
  <rowBreaks count="1" manualBreakCount="1">
    <brk id="50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5"/>
  <sheetViews>
    <sheetView workbookViewId="0">
      <selection activeCell="B4" sqref="B4"/>
    </sheetView>
  </sheetViews>
  <sheetFormatPr defaultRowHeight="13.2" x14ac:dyDescent="0.25"/>
  <cols>
    <col min="2" max="2" width="9.5546875" bestFit="1" customWidth="1"/>
    <col min="15" max="15" width="9.6640625" customWidth="1"/>
  </cols>
  <sheetData>
    <row r="1" spans="2:17" ht="15.6" x14ac:dyDescent="0.3">
      <c r="B1" s="24" t="s">
        <v>148</v>
      </c>
    </row>
    <row r="2" spans="2:17" ht="15.6" x14ac:dyDescent="0.3">
      <c r="B2" s="24"/>
    </row>
    <row r="3" spans="2:17" x14ac:dyDescent="0.25">
      <c r="B3" s="129" t="s">
        <v>646</v>
      </c>
    </row>
    <row r="4" spans="2:17" x14ac:dyDescent="0.25">
      <c r="B4" s="130">
        <v>5</v>
      </c>
      <c r="C4" s="129" t="s">
        <v>644</v>
      </c>
    </row>
    <row r="5" spans="2:17" x14ac:dyDescent="0.25">
      <c r="B5" s="130">
        <v>56</v>
      </c>
      <c r="C5" s="129" t="s">
        <v>645</v>
      </c>
    </row>
    <row r="6" spans="2:17" x14ac:dyDescent="0.25">
      <c r="B6" s="130">
        <v>12</v>
      </c>
      <c r="C6" s="129" t="s">
        <v>647</v>
      </c>
    </row>
    <row r="7" spans="2:17" x14ac:dyDescent="0.25">
      <c r="B7" s="130">
        <v>16</v>
      </c>
      <c r="C7" s="129" t="s">
        <v>638</v>
      </c>
    </row>
    <row r="8" spans="2:17" x14ac:dyDescent="0.25">
      <c r="B8" s="130">
        <v>9</v>
      </c>
      <c r="C8" s="129" t="s">
        <v>639</v>
      </c>
    </row>
    <row r="9" spans="2:17" x14ac:dyDescent="0.25">
      <c r="B9" s="131">
        <f>2*(B6*TAN(RADIANS(B4/2)))</f>
        <v>1.0478626298042895</v>
      </c>
      <c r="C9" s="129" t="s">
        <v>640</v>
      </c>
    </row>
    <row r="10" spans="2:17" x14ac:dyDescent="0.25">
      <c r="B10" s="131">
        <f>B9*B8/B7</f>
        <v>0.58942272926491279</v>
      </c>
      <c r="C10" s="129" t="s">
        <v>641</v>
      </c>
    </row>
    <row r="11" spans="2:17" x14ac:dyDescent="0.25">
      <c r="B11" s="131">
        <f>2*(B6*TAN(RADIANS(B5/2)))</f>
        <v>12.76102635987549</v>
      </c>
      <c r="C11" s="129" t="s">
        <v>642</v>
      </c>
    </row>
    <row r="12" spans="2:17" x14ac:dyDescent="0.25">
      <c r="B12" s="131">
        <f>B11*B8/B7</f>
        <v>7.1780773274299632</v>
      </c>
      <c r="C12" s="129" t="s">
        <v>643</v>
      </c>
    </row>
    <row r="13" spans="2:17" ht="15.6" x14ac:dyDescent="0.3">
      <c r="B13" s="24"/>
    </row>
    <row r="14" spans="2:17" ht="13.2" customHeight="1" x14ac:dyDescent="0.25">
      <c r="B14" s="129" t="s">
        <v>648</v>
      </c>
    </row>
    <row r="15" spans="2:17" ht="13.2" customHeight="1" x14ac:dyDescent="0.25">
      <c r="B15" t="s">
        <v>151</v>
      </c>
    </row>
    <row r="16" spans="2:17" ht="13.2" customHeight="1" x14ac:dyDescent="0.25">
      <c r="B16" s="3">
        <v>1650</v>
      </c>
      <c r="C16" t="s">
        <v>144</v>
      </c>
      <c r="F16" s="3">
        <v>0</v>
      </c>
      <c r="G16" t="s">
        <v>107</v>
      </c>
      <c r="K16" s="138" t="s">
        <v>152</v>
      </c>
      <c r="L16" s="138" t="s">
        <v>153</v>
      </c>
      <c r="M16" s="25" t="s">
        <v>154</v>
      </c>
      <c r="N16" s="25" t="s">
        <v>156</v>
      </c>
      <c r="O16" s="25" t="s">
        <v>32</v>
      </c>
      <c r="P16" s="25" t="s">
        <v>157</v>
      </c>
      <c r="Q16" s="138" t="s">
        <v>158</v>
      </c>
    </row>
    <row r="17" spans="2:17" ht="13.2" customHeight="1" x14ac:dyDescent="0.25">
      <c r="B17" s="3">
        <v>9144</v>
      </c>
      <c r="C17" t="s">
        <v>145</v>
      </c>
      <c r="F17" s="3">
        <v>0.5</v>
      </c>
      <c r="G17" t="s">
        <v>108</v>
      </c>
      <c r="K17" s="139"/>
      <c r="L17" s="139"/>
      <c r="M17" s="26" t="s">
        <v>155</v>
      </c>
      <c r="N17" s="26" t="s">
        <v>155</v>
      </c>
      <c r="O17" s="26" t="s">
        <v>155</v>
      </c>
      <c r="P17" s="26" t="s">
        <v>171</v>
      </c>
      <c r="Q17" s="139"/>
    </row>
    <row r="18" spans="2:17" ht="13.2" customHeight="1" x14ac:dyDescent="0.25">
      <c r="B18" s="3">
        <v>6.4</v>
      </c>
      <c r="C18" t="s">
        <v>147</v>
      </c>
      <c r="F18">
        <f>((F16*12)+(F17))*25.4</f>
        <v>12.7</v>
      </c>
      <c r="G18" t="s">
        <v>134</v>
      </c>
      <c r="K18" s="27" t="s">
        <v>159</v>
      </c>
      <c r="L18" s="28" t="s">
        <v>170</v>
      </c>
      <c r="M18" s="27">
        <v>2.2999999999999998</v>
      </c>
      <c r="N18" s="27">
        <v>1.73</v>
      </c>
      <c r="O18" s="27">
        <v>2.8780000000000001</v>
      </c>
      <c r="P18" s="27">
        <v>3.9790000000000001</v>
      </c>
      <c r="Q18" s="27">
        <v>1</v>
      </c>
    </row>
    <row r="19" spans="2:17" ht="13.2" customHeight="1" x14ac:dyDescent="0.25">
      <c r="B19" s="3">
        <v>35</v>
      </c>
      <c r="C19" t="s">
        <v>146</v>
      </c>
      <c r="K19" s="27" t="s">
        <v>160</v>
      </c>
      <c r="L19" s="28" t="s">
        <v>170</v>
      </c>
      <c r="M19" s="27">
        <v>3.2</v>
      </c>
      <c r="N19" s="27">
        <v>2.4</v>
      </c>
      <c r="O19" s="27">
        <v>4</v>
      </c>
      <c r="P19" s="27">
        <v>7.68</v>
      </c>
      <c r="Q19" s="27">
        <v>1.93</v>
      </c>
    </row>
    <row r="20" spans="2:17" ht="13.2" customHeight="1" x14ac:dyDescent="0.25">
      <c r="B20" s="12">
        <f>IF(B19=0,0,(B17*B18/B19))</f>
        <v>1672.0457142857144</v>
      </c>
      <c r="C20" t="s">
        <v>130</v>
      </c>
      <c r="F20" s="10">
        <f>B20*0.0032808399</f>
        <v>5.4857142940525723</v>
      </c>
      <c r="G20" t="s">
        <v>149</v>
      </c>
      <c r="K20" s="27" t="s">
        <v>161</v>
      </c>
      <c r="L20" s="28" t="s">
        <v>170</v>
      </c>
      <c r="M20" s="27">
        <v>4</v>
      </c>
      <c r="N20" s="27">
        <v>3</v>
      </c>
      <c r="O20" s="27">
        <v>5</v>
      </c>
      <c r="P20" s="27">
        <v>12</v>
      </c>
      <c r="Q20" s="27">
        <v>3.016</v>
      </c>
    </row>
    <row r="21" spans="2:17" ht="13.2" customHeight="1" x14ac:dyDescent="0.25">
      <c r="B21" s="12">
        <f>B16*B19/B18</f>
        <v>9023.4375</v>
      </c>
      <c r="C21" t="s">
        <v>131</v>
      </c>
      <c r="F21" s="10">
        <f>B21*0.0032808399</f>
        <v>29.604453785156252</v>
      </c>
      <c r="G21" t="s">
        <v>150</v>
      </c>
      <c r="K21" s="27" t="s">
        <v>162</v>
      </c>
      <c r="L21" s="28" t="s">
        <v>170</v>
      </c>
      <c r="M21" s="27">
        <v>4.5359999999999996</v>
      </c>
      <c r="N21" s="27">
        <v>3.4159999999999999</v>
      </c>
      <c r="O21" s="27">
        <v>5.6779999999999999</v>
      </c>
      <c r="P21" s="27">
        <v>15.494999999999999</v>
      </c>
      <c r="Q21" s="27">
        <v>3.8940000000000001</v>
      </c>
    </row>
    <row r="22" spans="2:17" ht="13.2" customHeight="1" x14ac:dyDescent="0.25">
      <c r="B22" s="12">
        <f>B16*B19/B17</f>
        <v>6.3156167979002626</v>
      </c>
      <c r="C22" t="s">
        <v>133</v>
      </c>
      <c r="K22" s="27" t="s">
        <v>163</v>
      </c>
      <c r="L22" s="28" t="s">
        <v>170</v>
      </c>
      <c r="M22" s="27">
        <v>4.8</v>
      </c>
      <c r="N22" s="27">
        <v>3.6</v>
      </c>
      <c r="O22" s="27">
        <v>6</v>
      </c>
      <c r="P22" s="27">
        <v>17.28</v>
      </c>
      <c r="Q22" s="27">
        <v>4.343</v>
      </c>
    </row>
    <row r="23" spans="2:17" ht="13.2" customHeight="1" x14ac:dyDescent="0.25">
      <c r="B23" s="12">
        <f>B17*B18/B16</f>
        <v>35.467636363636366</v>
      </c>
      <c r="C23" t="s">
        <v>132</v>
      </c>
      <c r="E23" s="1"/>
      <c r="K23" s="27" t="s">
        <v>164</v>
      </c>
      <c r="L23" s="28" t="s">
        <v>170</v>
      </c>
      <c r="M23" s="27">
        <v>5.27</v>
      </c>
      <c r="N23" s="27">
        <v>3.96</v>
      </c>
      <c r="O23" s="27">
        <v>6.5919999999999996</v>
      </c>
      <c r="P23" s="27">
        <v>20.869</v>
      </c>
      <c r="Q23" s="27">
        <v>5.2450000000000001</v>
      </c>
    </row>
    <row r="24" spans="2:17" ht="13.2" customHeight="1" x14ac:dyDescent="0.25">
      <c r="E24" s="1"/>
      <c r="K24" s="27" t="s">
        <v>165</v>
      </c>
      <c r="L24" s="28" t="s">
        <v>170</v>
      </c>
      <c r="M24" s="27">
        <v>6.4</v>
      </c>
      <c r="N24" s="27">
        <v>4.8</v>
      </c>
      <c r="O24" s="27">
        <v>8</v>
      </c>
      <c r="P24" s="27">
        <v>30.72</v>
      </c>
      <c r="Q24" s="27">
        <v>7.7210000000000001</v>
      </c>
    </row>
    <row r="25" spans="2:17" ht="13.2" customHeight="1" x14ac:dyDescent="0.25">
      <c r="E25" s="1"/>
      <c r="K25" s="27" t="s">
        <v>166</v>
      </c>
      <c r="L25" s="28" t="s">
        <v>170</v>
      </c>
      <c r="M25" s="27">
        <v>7.1760000000000002</v>
      </c>
      <c r="N25" s="27">
        <v>5.319</v>
      </c>
      <c r="O25" s="27">
        <v>8.9320000000000004</v>
      </c>
      <c r="P25" s="27">
        <v>38.168999999999997</v>
      </c>
      <c r="Q25" s="27">
        <v>9.593</v>
      </c>
    </row>
    <row r="26" spans="2:17" ht="13.2" customHeight="1" x14ac:dyDescent="0.25">
      <c r="B26" s="4" t="s">
        <v>135</v>
      </c>
      <c r="K26" s="27" t="s">
        <v>167</v>
      </c>
      <c r="L26" s="28" t="s">
        <v>170</v>
      </c>
      <c r="M26" s="27">
        <v>8.8000000000000007</v>
      </c>
      <c r="N26" s="27">
        <v>6.6</v>
      </c>
      <c r="O26" s="27">
        <v>11</v>
      </c>
      <c r="P26" s="27">
        <v>58.08</v>
      </c>
      <c r="Q26" s="27">
        <v>14.597</v>
      </c>
    </row>
    <row r="27" spans="2:17" ht="13.2" customHeight="1" x14ac:dyDescent="0.25">
      <c r="B27" s="20">
        <v>4</v>
      </c>
      <c r="C27" t="s">
        <v>136</v>
      </c>
      <c r="K27" s="27" t="s">
        <v>168</v>
      </c>
      <c r="L27" s="28" t="s">
        <v>170</v>
      </c>
      <c r="M27" s="27">
        <v>12.8</v>
      </c>
      <c r="N27" s="27">
        <v>9.6</v>
      </c>
      <c r="O27" s="27">
        <v>16</v>
      </c>
      <c r="P27" s="27">
        <v>122.88</v>
      </c>
      <c r="Q27" s="27">
        <v>30.882000000000001</v>
      </c>
    </row>
    <row r="28" spans="2:17" ht="13.2" customHeight="1" x14ac:dyDescent="0.25">
      <c r="B28" s="20">
        <v>3</v>
      </c>
      <c r="C28" t="s">
        <v>137</v>
      </c>
      <c r="K28" s="27" t="s">
        <v>169</v>
      </c>
      <c r="L28" s="28" t="s">
        <v>170</v>
      </c>
      <c r="M28" s="27">
        <v>18</v>
      </c>
      <c r="N28" s="27">
        <v>13.5</v>
      </c>
      <c r="O28" s="27">
        <v>22.5</v>
      </c>
      <c r="P28" s="27">
        <v>243</v>
      </c>
      <c r="Q28" s="27">
        <v>61.07</v>
      </c>
    </row>
    <row r="29" spans="2:17" ht="13.2" customHeight="1" x14ac:dyDescent="0.25">
      <c r="B29" s="12">
        <f>SQRT(B27^2+B28^2)</f>
        <v>5</v>
      </c>
      <c r="C29" t="s">
        <v>239</v>
      </c>
      <c r="K29" s="43"/>
      <c r="L29" s="44"/>
      <c r="M29" s="43"/>
      <c r="N29" s="43"/>
      <c r="O29" s="43"/>
      <c r="P29" s="43"/>
      <c r="Q29" s="43"/>
    </row>
    <row r="30" spans="2:17" ht="13.2" customHeight="1" x14ac:dyDescent="0.25">
      <c r="B30" s="3">
        <v>11.7</v>
      </c>
      <c r="C30" t="s">
        <v>138</v>
      </c>
    </row>
    <row r="31" spans="2:17" ht="13.2" customHeight="1" x14ac:dyDescent="0.25">
      <c r="B31" s="3">
        <v>6.23</v>
      </c>
      <c r="C31" t="s">
        <v>139</v>
      </c>
    </row>
    <row r="32" spans="2:17" ht="13.2" customHeight="1" x14ac:dyDescent="0.25">
      <c r="B32" s="3">
        <v>12.7</v>
      </c>
      <c r="C32" t="s">
        <v>140</v>
      </c>
    </row>
    <row r="33" spans="2:5" ht="13.2" customHeight="1" x14ac:dyDescent="0.25">
      <c r="B33" s="3">
        <v>70</v>
      </c>
      <c r="C33" t="s">
        <v>236</v>
      </c>
    </row>
    <row r="34" spans="2:5" ht="13.2" customHeight="1" x14ac:dyDescent="0.25">
      <c r="B34" s="3">
        <v>43</v>
      </c>
      <c r="C34" t="s">
        <v>237</v>
      </c>
    </row>
    <row r="35" spans="2:5" ht="13.2" customHeight="1" x14ac:dyDescent="0.25">
      <c r="B35" s="3">
        <v>77.5</v>
      </c>
      <c r="C35" t="s">
        <v>238</v>
      </c>
    </row>
    <row r="36" spans="2:5" ht="13.2" customHeight="1" x14ac:dyDescent="0.25"/>
    <row r="37" spans="2:5" ht="13.2" customHeight="1" x14ac:dyDescent="0.25">
      <c r="B37" s="10">
        <f>B30</f>
        <v>11.7</v>
      </c>
      <c r="C37" s="10">
        <f>B31*(B27/B28)</f>
        <v>8.3066666666666666</v>
      </c>
      <c r="D37" s="10">
        <f>B32*(B27/(SQRT((B27^2)+(B28^2))))</f>
        <v>10.16</v>
      </c>
      <c r="E37" t="s">
        <v>141</v>
      </c>
    </row>
    <row r="38" spans="2:5" ht="13.2" customHeight="1" x14ac:dyDescent="0.25">
      <c r="B38" s="10">
        <f>B30*(B28/B27)</f>
        <v>8.7749999999999986</v>
      </c>
      <c r="C38" s="10">
        <f>B31</f>
        <v>6.23</v>
      </c>
      <c r="D38" s="10">
        <f>B32*(B28/(SQRT((B27^2)+(B28^2))))</f>
        <v>7.6199999999999992</v>
      </c>
      <c r="E38" t="s">
        <v>142</v>
      </c>
    </row>
    <row r="39" spans="2:5" ht="13.2" customHeight="1" x14ac:dyDescent="0.25">
      <c r="B39" s="10">
        <f>B30*(SQRT((B27^2)+(B28^2)))/B27</f>
        <v>14.625</v>
      </c>
      <c r="C39" s="10">
        <f>B31*(SQRT((B27^2)+(B28^2)))/B28</f>
        <v>10.383333333333335</v>
      </c>
      <c r="D39" s="10">
        <f>B32</f>
        <v>12.7</v>
      </c>
      <c r="E39" t="s">
        <v>143</v>
      </c>
    </row>
    <row r="40" spans="2:5" ht="13.2" customHeight="1" x14ac:dyDescent="0.25">
      <c r="B40" t="s">
        <v>172</v>
      </c>
      <c r="C40" s="10"/>
      <c r="D40" s="10"/>
    </row>
    <row r="41" spans="2:5" ht="13.2" customHeight="1" x14ac:dyDescent="0.25">
      <c r="C41" s="10"/>
      <c r="D41" s="10"/>
    </row>
    <row r="42" spans="2:5" ht="13.2" customHeight="1" x14ac:dyDescent="0.25">
      <c r="B42" s="5" t="s">
        <v>154</v>
      </c>
      <c r="C42" s="14" t="s">
        <v>156</v>
      </c>
      <c r="D42" s="14" t="s">
        <v>32</v>
      </c>
    </row>
    <row r="43" spans="2:5" ht="13.2" customHeight="1" x14ac:dyDescent="0.25">
      <c r="B43" s="42">
        <f>B33</f>
        <v>70</v>
      </c>
      <c r="C43" s="10">
        <f>2*(DEGREES(ATAN((B28/2)/((B27/2)/(TAN(B33/2*PI()/180))))))</f>
        <v>55.412927352596554</v>
      </c>
      <c r="D43" s="10">
        <f>2*(DEGREES(ATAN((B29/2)/((B27/2)/(TAN(B33/2*PI()/180))))))</f>
        <v>82.388685071041806</v>
      </c>
      <c r="E43" t="s">
        <v>259</v>
      </c>
    </row>
    <row r="44" spans="2:5" ht="13.2" customHeight="1" x14ac:dyDescent="0.25">
      <c r="B44" s="10">
        <f>2*(DEGREES(ATAN((B27/2)/((B28/2)/(TAN(B34/2*PI()/180))))))</f>
        <v>55.418164985964928</v>
      </c>
      <c r="C44" s="42">
        <f>B34</f>
        <v>43</v>
      </c>
      <c r="D44" s="10">
        <f>2*(DEGREES(ATAN((B29/2)/((B28/2)/(TAN(B34/2*PI()/180))))))</f>
        <v>66.571195970101812</v>
      </c>
      <c r="E44" t="s">
        <v>258</v>
      </c>
    </row>
    <row r="45" spans="2:5" ht="13.2" customHeight="1" x14ac:dyDescent="0.25">
      <c r="B45" s="10">
        <f>2*(DEGREES(ATAN((B27/2)/((B29/2)/(TAN(B35/2*PI()/180))))))</f>
        <v>65.406434004934255</v>
      </c>
      <c r="C45" s="10">
        <f>2*(DEGREES(ATAN((B28/2)/((B29/2)/(TAN(B35/2*PI()/180))))))</f>
        <v>51.426366129162382</v>
      </c>
      <c r="D45" s="42">
        <f>B35</f>
        <v>77.5</v>
      </c>
      <c r="E45" t="s">
        <v>260</v>
      </c>
    </row>
  </sheetData>
  <sheetProtection sheet="1" objects="1" scenarios="1"/>
  <protectedRanges>
    <protectedRange sqref="B4:B8" name="Range3"/>
    <protectedRange sqref="B16:B19 F16:F17 B27:B35" name="Range2"/>
  </protectedRanges>
  <mergeCells count="3">
    <mergeCell ref="K16:K17"/>
    <mergeCell ref="L16:L17"/>
    <mergeCell ref="Q16:Q17"/>
  </mergeCells>
  <phoneticPr fontId="3" type="noConversion"/>
  <pageMargins left="0.75" right="0.75" top="1" bottom="1" header="0.5" footer="0.5"/>
  <pageSetup orientation="portrait" r:id="rId1"/>
  <headerFooter alignWithMargins="0">
    <oddFooter>&amp;C©2009, InfoComm International®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selection activeCell="F3" sqref="F3:F14"/>
    </sheetView>
  </sheetViews>
  <sheetFormatPr defaultRowHeight="13.2" x14ac:dyDescent="0.25"/>
  <cols>
    <col min="1" max="3" width="9.6640625" customWidth="1"/>
  </cols>
  <sheetData>
    <row r="1" spans="1:8" x14ac:dyDescent="0.25">
      <c r="A1" s="4" t="s">
        <v>175</v>
      </c>
    </row>
    <row r="3" spans="1:8" x14ac:dyDescent="0.25">
      <c r="A3" s="102" t="s">
        <v>176</v>
      </c>
      <c r="B3" s="23" t="s">
        <v>177</v>
      </c>
      <c r="D3" s="102" t="s">
        <v>524</v>
      </c>
      <c r="E3" s="23" t="s">
        <v>178</v>
      </c>
      <c r="G3" s="4" t="s">
        <v>526</v>
      </c>
    </row>
    <row r="4" spans="1:8" x14ac:dyDescent="0.25">
      <c r="A4" s="105">
        <v>0</v>
      </c>
      <c r="B4" s="46">
        <v>0</v>
      </c>
      <c r="D4" s="103">
        <v>0</v>
      </c>
      <c r="E4" s="46">
        <v>0</v>
      </c>
      <c r="G4" s="4" t="s">
        <v>527</v>
      </c>
      <c r="H4" s="4" t="s">
        <v>529</v>
      </c>
    </row>
    <row r="5" spans="1:8" x14ac:dyDescent="0.25">
      <c r="A5" s="106" t="s">
        <v>179</v>
      </c>
      <c r="B5" s="5">
        <v>0.62</v>
      </c>
      <c r="D5" s="104">
        <v>15</v>
      </c>
      <c r="E5" s="5">
        <v>17.3</v>
      </c>
      <c r="G5" s="46">
        <v>1</v>
      </c>
      <c r="H5" s="110">
        <v>0.53</v>
      </c>
    </row>
    <row r="6" spans="1:8" x14ac:dyDescent="0.25">
      <c r="A6" s="106" t="s">
        <v>180</v>
      </c>
      <c r="B6" s="5">
        <v>0.82</v>
      </c>
      <c r="D6" s="104">
        <v>20</v>
      </c>
      <c r="E6" s="5">
        <v>22.299999999999997</v>
      </c>
      <c r="G6" s="46">
        <v>2</v>
      </c>
      <c r="H6" s="110">
        <v>0.31</v>
      </c>
    </row>
    <row r="7" spans="1:8" x14ac:dyDescent="0.25">
      <c r="A7" s="106" t="s">
        <v>181</v>
      </c>
      <c r="B7" s="5">
        <v>1.05</v>
      </c>
      <c r="D7" s="104">
        <v>25</v>
      </c>
      <c r="E7" s="5">
        <v>28.500000000000004</v>
      </c>
      <c r="G7" s="5">
        <v>3</v>
      </c>
      <c r="H7" s="110">
        <v>0.4</v>
      </c>
    </row>
    <row r="8" spans="1:8" x14ac:dyDescent="0.25">
      <c r="A8" s="106" t="s">
        <v>182</v>
      </c>
      <c r="B8" s="5">
        <v>1.38</v>
      </c>
      <c r="D8" s="104">
        <v>32</v>
      </c>
      <c r="E8" s="5">
        <v>37.199999999999996</v>
      </c>
      <c r="G8" s="109" t="s">
        <v>528</v>
      </c>
    </row>
    <row r="9" spans="1:8" x14ac:dyDescent="0.25">
      <c r="A9" s="106" t="s">
        <v>183</v>
      </c>
      <c r="B9" s="5">
        <v>1.61</v>
      </c>
      <c r="D9" s="104">
        <v>40</v>
      </c>
      <c r="E9" s="5">
        <v>42.5</v>
      </c>
    </row>
    <row r="10" spans="1:8" x14ac:dyDescent="0.25">
      <c r="A10" s="106" t="s">
        <v>184</v>
      </c>
      <c r="B10" s="5">
        <v>2.0699999999999998</v>
      </c>
      <c r="D10" s="104">
        <v>50</v>
      </c>
      <c r="E10" s="5">
        <v>54.5</v>
      </c>
    </row>
    <row r="11" spans="1:8" x14ac:dyDescent="0.25">
      <c r="A11" s="106" t="s">
        <v>185</v>
      </c>
      <c r="B11" s="5">
        <v>2.4700000000000002</v>
      </c>
      <c r="D11" s="104">
        <v>65</v>
      </c>
      <c r="E11" s="5">
        <v>69.699999999999989</v>
      </c>
    </row>
    <row r="12" spans="1:8" x14ac:dyDescent="0.25">
      <c r="A12" s="106" t="s">
        <v>186</v>
      </c>
      <c r="B12" s="5">
        <v>3.07</v>
      </c>
      <c r="D12" s="104">
        <v>80</v>
      </c>
      <c r="E12" s="5">
        <v>82.5</v>
      </c>
    </row>
    <row r="13" spans="1:8" x14ac:dyDescent="0.25">
      <c r="A13" s="106" t="s">
        <v>187</v>
      </c>
      <c r="B13" s="5">
        <v>3.55</v>
      </c>
      <c r="D13" s="104">
        <v>100</v>
      </c>
      <c r="E13" s="5">
        <v>107.1</v>
      </c>
    </row>
    <row r="14" spans="1:8" x14ac:dyDescent="0.25">
      <c r="A14" s="106" t="s">
        <v>188</v>
      </c>
      <c r="B14" s="5">
        <v>4.0199999999999996</v>
      </c>
      <c r="D14" s="104"/>
      <c r="E14" s="5"/>
    </row>
    <row r="15" spans="1:8" x14ac:dyDescent="0.25">
      <c r="A15" s="29"/>
      <c r="B15" s="5"/>
      <c r="C15" s="5"/>
    </row>
    <row r="16" spans="1:8" x14ac:dyDescent="0.25">
      <c r="A16" s="29"/>
      <c r="B16" s="5"/>
      <c r="C16" s="5"/>
    </row>
    <row r="17" spans="1:7" x14ac:dyDescent="0.25">
      <c r="A17" s="29"/>
      <c r="B17" s="5"/>
      <c r="C17" s="5"/>
    </row>
    <row r="18" spans="1:7" x14ac:dyDescent="0.25">
      <c r="A18" s="4" t="s">
        <v>531</v>
      </c>
    </row>
    <row r="19" spans="1:7" x14ac:dyDescent="0.25">
      <c r="A19" s="23" t="s">
        <v>263</v>
      </c>
      <c r="B19" s="4" t="s">
        <v>189</v>
      </c>
      <c r="C19" s="23" t="s">
        <v>523</v>
      </c>
      <c r="D19" s="23" t="s">
        <v>522</v>
      </c>
      <c r="E19" s="23" t="s">
        <v>191</v>
      </c>
      <c r="F19" s="23" t="s">
        <v>192</v>
      </c>
      <c r="G19" s="18" t="s">
        <v>525</v>
      </c>
    </row>
    <row r="20" spans="1:7" x14ac:dyDescent="0.25">
      <c r="A20" s="3">
        <v>1</v>
      </c>
      <c r="B20" s="31">
        <v>0.36</v>
      </c>
      <c r="C20" s="101">
        <f>IF(SUM(A20:A29)=0,0,IF(SUM(A20:A29)&gt;3,$H$7,VLOOKUP(SUM(A20:A29),$G$5:$H$7,2)))</f>
        <v>0.4</v>
      </c>
      <c r="D20" s="30">
        <f>SQRT(((A20*B20^2)+(A21*B21^2)+(A22*B22^2)+(A23*B23^20)+(A24*B24^20)+(A25*B25^2)+(A26*B26^20)+(A27*B27^20)+(A28*B28^2)+(A29*B29^2))/C20)</f>
        <v>0.75232971495216105</v>
      </c>
      <c r="E20" s="16">
        <f>INDEX(B4:B14,MATCH(D20,B4:B14,1)+1)</f>
        <v>0.82</v>
      </c>
      <c r="F20" s="16" t="str">
        <f>INDEX(A4:A14,MATCH(D20,B4:B14,1)+1)</f>
        <v>3/4</v>
      </c>
      <c r="G20" s="107">
        <f>INDEX(D4:D14,MATCH(D20,B4:B14,1)+1)</f>
        <v>20</v>
      </c>
    </row>
    <row r="21" spans="1:7" x14ac:dyDescent="0.25">
      <c r="A21" s="3">
        <v>1</v>
      </c>
      <c r="B21" s="31">
        <v>0.22</v>
      </c>
      <c r="C21" s="30"/>
      <c r="D21" s="30"/>
      <c r="E21" s="5"/>
      <c r="F21" s="5"/>
      <c r="G21" s="5"/>
    </row>
    <row r="22" spans="1:7" x14ac:dyDescent="0.25">
      <c r="A22" s="3">
        <v>1</v>
      </c>
      <c r="B22" s="31">
        <v>0.22</v>
      </c>
      <c r="C22" s="30"/>
      <c r="D22" s="5"/>
    </row>
    <row r="23" spans="1:7" x14ac:dyDescent="0.25">
      <c r="A23" s="3"/>
      <c r="B23" s="31"/>
      <c r="C23" s="30"/>
      <c r="D23" s="5"/>
    </row>
    <row r="24" spans="1:7" x14ac:dyDescent="0.25">
      <c r="A24" s="3"/>
      <c r="B24" s="31"/>
      <c r="C24" s="30"/>
      <c r="D24" s="5"/>
    </row>
    <row r="25" spans="1:7" x14ac:dyDescent="0.25">
      <c r="A25" s="3"/>
      <c r="B25" s="31"/>
      <c r="C25" s="30"/>
      <c r="D25" s="23" t="s">
        <v>190</v>
      </c>
    </row>
    <row r="26" spans="1:7" x14ac:dyDescent="0.25">
      <c r="A26" s="3"/>
      <c r="B26" s="31"/>
      <c r="C26" s="30"/>
      <c r="D26" s="14">
        <f>E20/(SUM(B20:B22)/3)</f>
        <v>3.0749999999999997</v>
      </c>
    </row>
    <row r="27" spans="1:7" x14ac:dyDescent="0.25">
      <c r="A27" s="3"/>
      <c r="B27" s="31"/>
      <c r="C27" s="30"/>
      <c r="D27" s="47" t="str">
        <f>IF(SUM(A20:A29)&lt;&gt;3,"Not 3 Cables",IF(D26&gt;3.2,"Okay!",(IF(D26&gt;2.4,"Jam! Select "&amp;INDEX(A4:A14,MATCH(D20,B4:B14,1)+2)&amp;" Trade Size","Okay!"))))</f>
        <v>Jam! Select 1 Trade Size</v>
      </c>
    </row>
    <row r="28" spans="1:7" x14ac:dyDescent="0.25">
      <c r="A28" s="3"/>
      <c r="B28" s="31"/>
      <c r="C28" s="30"/>
      <c r="D28" s="17" t="str">
        <f>IF(SUM(A20:A29)&lt;&gt;3,"",IF(D26&gt;3.2,"",(IF(D26&gt;2.4,"Jam! Select "&amp;INDEX(D4:D14,MATCH(D20,B4:B14,1)+2)&amp;" Metric Trade Size",""))))</f>
        <v>Jam! Select 25 Metric Trade Size</v>
      </c>
      <c r="E28" s="5"/>
    </row>
    <row r="29" spans="1:7" x14ac:dyDescent="0.25">
      <c r="A29" s="3"/>
      <c r="B29" s="31"/>
      <c r="C29" s="30"/>
      <c r="D29" s="5"/>
      <c r="E29" s="5"/>
      <c r="F29" s="5"/>
      <c r="G29" s="5"/>
    </row>
    <row r="30" spans="1:7" x14ac:dyDescent="0.25">
      <c r="F30" s="5"/>
    </row>
    <row r="32" spans="1:7" x14ac:dyDescent="0.25">
      <c r="A32" s="4" t="s">
        <v>530</v>
      </c>
    </row>
    <row r="33" spans="1:7" x14ac:dyDescent="0.25">
      <c r="A33" s="4" t="s">
        <v>263</v>
      </c>
      <c r="B33" s="4" t="s">
        <v>189</v>
      </c>
      <c r="C33" s="4" t="s">
        <v>523</v>
      </c>
      <c r="D33" s="4" t="s">
        <v>522</v>
      </c>
      <c r="E33" s="4" t="s">
        <v>191</v>
      </c>
      <c r="F33" s="4" t="s">
        <v>192</v>
      </c>
      <c r="G33" s="18" t="s">
        <v>525</v>
      </c>
    </row>
    <row r="34" spans="1:7" x14ac:dyDescent="0.25">
      <c r="A34" s="87">
        <v>1</v>
      </c>
      <c r="B34" s="87">
        <v>8.5</v>
      </c>
      <c r="C34" s="101">
        <f>IF(SUM(A34:A43)=0,0,IF(SUM(A34:A43)&gt;3,$H$7,VLOOKUP(SUM(A34:A43),$G$5:$H$7,2)))</f>
        <v>0.4</v>
      </c>
      <c r="D34" s="10">
        <f>SQRT(((A34*B34^2)+(A35*B35^2)+(A36*B36^2)+(A37*B37^20)+(A38*B38^20)+(A39*B39^2)+(A40*B40^20)+(A41*B41^20)+(A42*B42^2)+(A43*B43^2))/C34)</f>
        <v>18.36913171600661</v>
      </c>
      <c r="E34" s="5">
        <f>INDEX(E4:E14,MATCH(D34,E4:E14,1)+1)</f>
        <v>22.299999999999997</v>
      </c>
      <c r="F34" s="5">
        <f>INDEX(D4:D14,MATCH(D34,E4:E14,1)+1)</f>
        <v>20</v>
      </c>
      <c r="G34" t="str">
        <f>INDEX(A4:A14,MATCH(D34,E4:E14,1)+1)</f>
        <v>3/4</v>
      </c>
    </row>
    <row r="35" spans="1:7" x14ac:dyDescent="0.25">
      <c r="A35" s="87">
        <v>1</v>
      </c>
      <c r="B35" s="108">
        <v>5.6</v>
      </c>
    </row>
    <row r="36" spans="1:7" x14ac:dyDescent="0.25">
      <c r="A36" s="87">
        <v>1</v>
      </c>
      <c r="B36" s="87">
        <v>5.6</v>
      </c>
    </row>
    <row r="37" spans="1:7" x14ac:dyDescent="0.25">
      <c r="A37" s="87"/>
      <c r="B37" s="87"/>
    </row>
    <row r="38" spans="1:7" x14ac:dyDescent="0.25">
      <c r="A38" s="87"/>
      <c r="B38" s="87"/>
    </row>
    <row r="39" spans="1:7" x14ac:dyDescent="0.25">
      <c r="A39" s="87"/>
      <c r="B39" s="87"/>
      <c r="D39" t="s">
        <v>190</v>
      </c>
    </row>
    <row r="40" spans="1:7" x14ac:dyDescent="0.25">
      <c r="A40" s="87"/>
      <c r="B40" s="87"/>
      <c r="D40">
        <f>E34/(SUM(B34:B36)/3)</f>
        <v>3.3959390862944159</v>
      </c>
    </row>
    <row r="41" spans="1:7" x14ac:dyDescent="0.25">
      <c r="A41" s="87"/>
      <c r="B41" s="87"/>
      <c r="D41" t="str">
        <f>IF(SUM(A34:A43)&lt;&gt;3,"Not 3 Cables",IF(D40&gt;3.2,"Okay!",(IF(D40&gt;2.4,"Jam! Select "&amp;INDEX(D4:D14,MATCH(D34,E4:E14,1)+2)&amp;" Trade Size","Okay!"))))</f>
        <v>Okay!</v>
      </c>
    </row>
    <row r="42" spans="1:7" x14ac:dyDescent="0.25">
      <c r="A42" s="87"/>
      <c r="B42" s="87"/>
      <c r="D42" t="str">
        <f>IF(SUM(A34:A43)&lt;&gt;3,"",IF(D40&gt;3.2,"",(IF(D40&gt;2.4,"Jam! Select "&amp;INDEX(A4:A14,MATCH(D34,E4:E14,1)+2)&amp;" Standard Trade Size",""))))</f>
        <v/>
      </c>
    </row>
    <row r="43" spans="1:7" x14ac:dyDescent="0.25">
      <c r="A43" s="87"/>
      <c r="B43" s="87"/>
    </row>
  </sheetData>
  <sheetProtection sheet="1"/>
  <protectedRanges>
    <protectedRange sqref="H5:H7 A20:B29 A34:B43" name="Range3"/>
  </protectedRanges>
  <phoneticPr fontId="3" type="noConversion"/>
  <pageMargins left="0.75" right="0.75" top="1" bottom="1" header="0.5" footer="0.5"/>
  <pageSetup orientation="portrait" r:id="rId1"/>
  <headerFooter alignWithMargins="0">
    <oddFooter>&amp;C©2009, InfoComm International®</oddFooter>
  </headerFooter>
  <ignoredErrors>
    <ignoredError sqref="A7 A10 A12 A14" numberStoredAsText="1"/>
    <ignoredError sqref="A8:A9 A11 A13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workbookViewId="0"/>
  </sheetViews>
  <sheetFormatPr defaultRowHeight="13.2" x14ac:dyDescent="0.25"/>
  <cols>
    <col min="11" max="11" width="16.6640625" bestFit="1" customWidth="1"/>
  </cols>
  <sheetData>
    <row r="1" spans="1:11" x14ac:dyDescent="0.25">
      <c r="A1" s="4" t="s">
        <v>193</v>
      </c>
    </row>
    <row r="3" spans="1:11" x14ac:dyDescent="0.25">
      <c r="A3" s="4"/>
      <c r="B3" s="133" t="s">
        <v>198</v>
      </c>
      <c r="C3" s="133"/>
    </row>
    <row r="4" spans="1:11" x14ac:dyDescent="0.25">
      <c r="A4" s="23" t="s">
        <v>194</v>
      </c>
      <c r="B4" s="23" t="s">
        <v>195</v>
      </c>
      <c r="C4" s="23" t="s">
        <v>196</v>
      </c>
    </row>
    <row r="5" spans="1:11" x14ac:dyDescent="0.25">
      <c r="A5" s="5">
        <v>30</v>
      </c>
      <c r="B5" s="5">
        <v>103.2</v>
      </c>
      <c r="C5" s="5">
        <v>112</v>
      </c>
    </row>
    <row r="6" spans="1:11" x14ac:dyDescent="0.25">
      <c r="A6" s="5">
        <v>28</v>
      </c>
      <c r="B6" s="5">
        <v>64.900000000000006</v>
      </c>
      <c r="C6" s="5">
        <v>70.7</v>
      </c>
    </row>
    <row r="7" spans="1:11" x14ac:dyDescent="0.25">
      <c r="A7" s="5">
        <v>26</v>
      </c>
      <c r="B7" s="5">
        <v>40.81</v>
      </c>
      <c r="C7" s="5">
        <v>44.4</v>
      </c>
    </row>
    <row r="8" spans="1:11" x14ac:dyDescent="0.25">
      <c r="A8" s="5">
        <v>24</v>
      </c>
      <c r="B8" s="5">
        <v>25.67</v>
      </c>
      <c r="C8" s="5">
        <v>27.7</v>
      </c>
    </row>
    <row r="9" spans="1:11" x14ac:dyDescent="0.25">
      <c r="A9" s="5">
        <v>22</v>
      </c>
      <c r="B9" s="5">
        <v>16.14</v>
      </c>
      <c r="C9" s="5">
        <v>17.5</v>
      </c>
    </row>
    <row r="10" spans="1:11" x14ac:dyDescent="0.25">
      <c r="A10" s="5">
        <v>20</v>
      </c>
      <c r="B10" s="5">
        <v>10.15</v>
      </c>
      <c r="C10" s="5">
        <v>10.9</v>
      </c>
    </row>
    <row r="11" spans="1:11" x14ac:dyDescent="0.25">
      <c r="A11" s="5">
        <v>18</v>
      </c>
      <c r="B11" s="5">
        <v>6.3849999999999998</v>
      </c>
      <c r="C11" s="5">
        <v>6.92</v>
      </c>
    </row>
    <row r="12" spans="1:11" x14ac:dyDescent="0.25">
      <c r="A12" s="5">
        <v>16</v>
      </c>
      <c r="B12" s="5">
        <v>4.016</v>
      </c>
      <c r="C12" s="5">
        <v>4.3499999999999996</v>
      </c>
    </row>
    <row r="13" spans="1:11" x14ac:dyDescent="0.25">
      <c r="A13" s="5">
        <v>14</v>
      </c>
      <c r="B13" s="5">
        <v>2.5249999999999999</v>
      </c>
      <c r="C13" s="5">
        <v>2.73</v>
      </c>
    </row>
    <row r="14" spans="1:11" x14ac:dyDescent="0.25">
      <c r="A14" s="5">
        <v>12</v>
      </c>
      <c r="B14" s="5">
        <v>1.5880000000000001</v>
      </c>
      <c r="C14" s="5">
        <v>1.71</v>
      </c>
    </row>
    <row r="15" spans="1:11" x14ac:dyDescent="0.25">
      <c r="A15" s="5">
        <v>10</v>
      </c>
      <c r="B15" s="5">
        <v>0.99890000000000001</v>
      </c>
      <c r="C15" s="5">
        <v>1.08</v>
      </c>
      <c r="K15" s="35"/>
    </row>
    <row r="18" spans="1:2" x14ac:dyDescent="0.25">
      <c r="A18" s="15">
        <v>50</v>
      </c>
      <c r="B18" t="s">
        <v>199</v>
      </c>
    </row>
    <row r="19" spans="1:2" x14ac:dyDescent="0.25">
      <c r="A19" s="15">
        <v>50</v>
      </c>
      <c r="B19" t="s">
        <v>202</v>
      </c>
    </row>
    <row r="20" spans="1:2" x14ac:dyDescent="0.25">
      <c r="A20" s="15">
        <v>17.5</v>
      </c>
      <c r="B20" t="s">
        <v>200</v>
      </c>
    </row>
    <row r="21" spans="1:2" x14ac:dyDescent="0.25">
      <c r="A21" s="5">
        <f>(A18+A19)*(A20/1000)</f>
        <v>1.7500000000000002</v>
      </c>
      <c r="B21" t="s">
        <v>201</v>
      </c>
    </row>
    <row r="25" spans="1:2" x14ac:dyDescent="0.25">
      <c r="A25" s="4" t="s">
        <v>219</v>
      </c>
    </row>
    <row r="26" spans="1:2" x14ac:dyDescent="0.25">
      <c r="A26" t="s">
        <v>220</v>
      </c>
    </row>
    <row r="27" spans="1:2" x14ac:dyDescent="0.25">
      <c r="A27" s="3">
        <v>0.7</v>
      </c>
      <c r="B27" t="s">
        <v>221</v>
      </c>
    </row>
    <row r="28" spans="1:2" x14ac:dyDescent="0.25">
      <c r="A28" s="3">
        <v>73</v>
      </c>
      <c r="B28" t="s">
        <v>262</v>
      </c>
    </row>
    <row r="29" spans="1:2" x14ac:dyDescent="0.25">
      <c r="A29" s="3">
        <v>100</v>
      </c>
      <c r="B29" t="s">
        <v>222</v>
      </c>
    </row>
    <row r="30" spans="1:2" x14ac:dyDescent="0.25">
      <c r="A30" s="3">
        <v>0.49</v>
      </c>
      <c r="B30" t="s">
        <v>223</v>
      </c>
    </row>
    <row r="31" spans="1:2" x14ac:dyDescent="0.25">
      <c r="A31" s="3">
        <v>4.6500000000000004</v>
      </c>
      <c r="B31" t="s">
        <v>224</v>
      </c>
    </row>
    <row r="32" spans="1:2" x14ac:dyDescent="0.25">
      <c r="A32" s="10">
        <f>(A30/A29)*A28</f>
        <v>0.35769999999999996</v>
      </c>
      <c r="B32" t="s">
        <v>225</v>
      </c>
    </row>
    <row r="33" spans="1:2" x14ac:dyDescent="0.25">
      <c r="A33" s="10">
        <f>(A31/A29)*A28</f>
        <v>3.3945000000000003</v>
      </c>
      <c r="B33" t="s">
        <v>226</v>
      </c>
    </row>
    <row r="34" spans="1:2" x14ac:dyDescent="0.25">
      <c r="A34" s="10">
        <f>10^(-A32/20)*A27</f>
        <v>0.67175829828621991</v>
      </c>
      <c r="B34" t="s">
        <v>227</v>
      </c>
    </row>
    <row r="35" spans="1:2" x14ac:dyDescent="0.25">
      <c r="A35" s="10">
        <f>10^(-A33/20)*A27</f>
        <v>0.47355784984905797</v>
      </c>
      <c r="B35" t="s">
        <v>228</v>
      </c>
    </row>
    <row r="38" spans="1:2" x14ac:dyDescent="0.25">
      <c r="A38" s="4" t="s">
        <v>229</v>
      </c>
    </row>
    <row r="39" spans="1:2" x14ac:dyDescent="0.25">
      <c r="A39" s="3">
        <v>0.7</v>
      </c>
      <c r="B39" t="s">
        <v>261</v>
      </c>
    </row>
    <row r="40" spans="1:2" x14ac:dyDescent="0.25">
      <c r="A40" s="3">
        <v>0.3</v>
      </c>
      <c r="B40" t="s">
        <v>230</v>
      </c>
    </row>
    <row r="41" spans="1:2" x14ac:dyDescent="0.25">
      <c r="A41" s="3">
        <v>1.4</v>
      </c>
      <c r="B41" t="s">
        <v>231</v>
      </c>
    </row>
    <row r="42" spans="1:2" x14ac:dyDescent="0.25">
      <c r="A42" s="12">
        <f>20*LOG(A40/A39)</f>
        <v>-7.3595357058918873</v>
      </c>
      <c r="B42" t="s">
        <v>232</v>
      </c>
    </row>
    <row r="43" spans="1:2" x14ac:dyDescent="0.25">
      <c r="A43" s="12">
        <f>20*LOG(A41/A39)</f>
        <v>6.0205999132796242</v>
      </c>
      <c r="B43" t="s">
        <v>233</v>
      </c>
    </row>
    <row r="46" spans="1:2" x14ac:dyDescent="0.25">
      <c r="A46" s="10"/>
    </row>
    <row r="47" spans="1:2" x14ac:dyDescent="0.25">
      <c r="A47" s="10"/>
    </row>
    <row r="48" spans="1:2" x14ac:dyDescent="0.25">
      <c r="A48" s="10"/>
    </row>
    <row r="49" spans="1:1" x14ac:dyDescent="0.25">
      <c r="A49" s="10"/>
    </row>
  </sheetData>
  <sheetProtection sheet="1" objects="1" scenarios="1"/>
  <protectedRanges>
    <protectedRange sqref="A18:A20 A27:A31 A39:A41" name="Range1"/>
  </protectedRanges>
  <mergeCells count="1">
    <mergeCell ref="B3:C3"/>
  </mergeCells>
  <phoneticPr fontId="3" type="noConversion"/>
  <pageMargins left="0.75" right="0.75" top="1" bottom="1" header="0.5" footer="0.5"/>
  <pageSetup orientation="portrait" r:id="rId1"/>
  <headerFooter alignWithMargins="0">
    <oddFooter>&amp;C©2009, InfoComm International®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workbookViewId="0">
      <selection activeCell="A4" sqref="A4"/>
    </sheetView>
  </sheetViews>
  <sheetFormatPr defaultRowHeight="13.2" x14ac:dyDescent="0.25"/>
  <cols>
    <col min="1" max="1" width="13.6640625" customWidth="1"/>
  </cols>
  <sheetData>
    <row r="1" spans="1:2" x14ac:dyDescent="0.25">
      <c r="A1" s="4" t="s">
        <v>275</v>
      </c>
    </row>
    <row r="3" spans="1:2" x14ac:dyDescent="0.25">
      <c r="A3" s="4" t="s">
        <v>276</v>
      </c>
    </row>
    <row r="4" spans="1:2" x14ac:dyDescent="0.25">
      <c r="A4" s="3">
        <v>1</v>
      </c>
      <c r="B4" t="s">
        <v>278</v>
      </c>
    </row>
    <row r="5" spans="1:2" x14ac:dyDescent="0.25">
      <c r="A5" s="3">
        <v>44.1</v>
      </c>
      <c r="B5" t="s">
        <v>277</v>
      </c>
    </row>
    <row r="6" spans="1:2" x14ac:dyDescent="0.25">
      <c r="A6" s="3">
        <v>16</v>
      </c>
      <c r="B6" t="s">
        <v>279</v>
      </c>
    </row>
    <row r="7" spans="1:2" x14ac:dyDescent="0.25">
      <c r="A7" s="3">
        <v>1</v>
      </c>
      <c r="B7" t="s">
        <v>300</v>
      </c>
    </row>
    <row r="8" spans="1:2" x14ac:dyDescent="0.25">
      <c r="A8">
        <f>A4*A5*A6/A7</f>
        <v>705.6</v>
      </c>
      <c r="B8" t="s">
        <v>280</v>
      </c>
    </row>
    <row r="9" spans="1:2" x14ac:dyDescent="0.25">
      <c r="A9">
        <f>A8*60</f>
        <v>42336</v>
      </c>
      <c r="B9" t="s">
        <v>281</v>
      </c>
    </row>
    <row r="10" spans="1:2" x14ac:dyDescent="0.25">
      <c r="A10">
        <f>A9*60</f>
        <v>2540160</v>
      </c>
      <c r="B10" t="s">
        <v>282</v>
      </c>
    </row>
    <row r="14" spans="1:2" x14ac:dyDescent="0.25">
      <c r="A14" s="4" t="s">
        <v>288</v>
      </c>
    </row>
    <row r="15" spans="1:2" x14ac:dyDescent="0.25">
      <c r="A15" s="3">
        <v>720</v>
      </c>
      <c r="B15" t="s">
        <v>284</v>
      </c>
    </row>
    <row r="16" spans="1:2" x14ac:dyDescent="0.25">
      <c r="A16" s="3">
        <v>486</v>
      </c>
      <c r="B16" t="s">
        <v>285</v>
      </c>
    </row>
    <row r="17" spans="1:2" x14ac:dyDescent="0.25">
      <c r="A17" s="3">
        <v>8</v>
      </c>
      <c r="B17" t="s">
        <v>283</v>
      </c>
    </row>
    <row r="18" spans="1:2" x14ac:dyDescent="0.25">
      <c r="A18" s="3">
        <v>60</v>
      </c>
      <c r="B18" t="s">
        <v>286</v>
      </c>
    </row>
    <row r="19" spans="1:2" x14ac:dyDescent="0.25">
      <c r="A19" s="3">
        <v>3</v>
      </c>
      <c r="B19" t="s">
        <v>287</v>
      </c>
    </row>
    <row r="20" spans="1:2" x14ac:dyDescent="0.25">
      <c r="A20" s="3">
        <v>1</v>
      </c>
      <c r="B20" t="s">
        <v>300</v>
      </c>
    </row>
    <row r="21" spans="1:2" x14ac:dyDescent="0.25">
      <c r="A21" s="53">
        <f>A15*A16*A17*A18*A19/A20</f>
        <v>503884800</v>
      </c>
      <c r="B21" t="s">
        <v>289</v>
      </c>
    </row>
    <row r="22" spans="1:2" x14ac:dyDescent="0.25">
      <c r="A22" s="53">
        <f>A21/8</f>
        <v>62985600</v>
      </c>
      <c r="B22" t="s">
        <v>290</v>
      </c>
    </row>
    <row r="25" spans="1:2" x14ac:dyDescent="0.25">
      <c r="A25" s="4" t="s">
        <v>291</v>
      </c>
    </row>
    <row r="26" spans="1:2" x14ac:dyDescent="0.25">
      <c r="A26" s="53">
        <f>A8+A21</f>
        <v>503885505.60000002</v>
      </c>
      <c r="B26" t="s">
        <v>297</v>
      </c>
    </row>
    <row r="29" spans="1:2" x14ac:dyDescent="0.25">
      <c r="A29" s="53">
        <v>60000000000</v>
      </c>
      <c r="B29" t="s">
        <v>298</v>
      </c>
    </row>
    <row r="30" spans="1:2" x14ac:dyDescent="0.25">
      <c r="A30">
        <f>A29/A26</f>
        <v>119.07466941037566</v>
      </c>
      <c r="B30" t="s">
        <v>299</v>
      </c>
    </row>
    <row r="31" spans="1:2" x14ac:dyDescent="0.25">
      <c r="A31">
        <f>A30/60</f>
        <v>1.984577823506261</v>
      </c>
      <c r="B31" t="s">
        <v>301</v>
      </c>
    </row>
    <row r="32" spans="1:2" x14ac:dyDescent="0.25">
      <c r="A32">
        <f>A31/60</f>
        <v>3.3076297058437683E-2</v>
      </c>
      <c r="B32" t="s">
        <v>302</v>
      </c>
    </row>
    <row r="39" spans="1:2" x14ac:dyDescent="0.25">
      <c r="A39" s="4" t="s">
        <v>296</v>
      </c>
    </row>
    <row r="40" spans="1:2" x14ac:dyDescent="0.25">
      <c r="A40" s="3">
        <v>100</v>
      </c>
      <c r="B40" t="s">
        <v>294</v>
      </c>
    </row>
    <row r="41" spans="1:2" x14ac:dyDescent="0.25">
      <c r="A41" s="3">
        <v>70</v>
      </c>
      <c r="B41" t="s">
        <v>292</v>
      </c>
    </row>
    <row r="42" spans="1:2" x14ac:dyDescent="0.25">
      <c r="A42" s="3">
        <v>30</v>
      </c>
      <c r="B42" t="s">
        <v>293</v>
      </c>
    </row>
    <row r="43" spans="1:2" x14ac:dyDescent="0.25">
      <c r="A43">
        <f>A40*((100-A41)/100)*((100-A42)/100)</f>
        <v>21</v>
      </c>
      <c r="B43" t="s">
        <v>295</v>
      </c>
    </row>
  </sheetData>
  <sheetProtection sheet="1"/>
  <protectedRanges>
    <protectedRange sqref="A4:A7 A15:A20 A40:A42" name="Range1"/>
  </protectedRanges>
  <phoneticPr fontId="3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workbookViewId="0">
      <selection activeCell="H7" sqref="H7"/>
    </sheetView>
  </sheetViews>
  <sheetFormatPr defaultRowHeight="13.2" x14ac:dyDescent="0.25"/>
  <cols>
    <col min="1" max="1" width="29" customWidth="1"/>
  </cols>
  <sheetData>
    <row r="1" spans="1:9" x14ac:dyDescent="0.25">
      <c r="A1" s="4" t="s">
        <v>481</v>
      </c>
    </row>
    <row r="2" spans="1:9" ht="13.8" thickBot="1" x14ac:dyDescent="0.3"/>
    <row r="3" spans="1:9" ht="72" x14ac:dyDescent="0.25">
      <c r="A3" s="64"/>
      <c r="B3" s="65" t="s">
        <v>432</v>
      </c>
      <c r="C3" s="65" t="s">
        <v>433</v>
      </c>
      <c r="D3" s="65" t="s">
        <v>434</v>
      </c>
      <c r="E3" s="65" t="s">
        <v>435</v>
      </c>
      <c r="F3" s="65" t="s">
        <v>436</v>
      </c>
      <c r="G3" s="65" t="s">
        <v>437</v>
      </c>
      <c r="H3" s="66" t="s">
        <v>438</v>
      </c>
      <c r="I3" s="67" t="s">
        <v>439</v>
      </c>
    </row>
    <row r="4" spans="1:9" x14ac:dyDescent="0.25">
      <c r="A4" s="68" t="s">
        <v>440</v>
      </c>
      <c r="B4" s="69">
        <v>250</v>
      </c>
      <c r="C4" s="69">
        <v>500</v>
      </c>
      <c r="D4" s="69">
        <v>1000</v>
      </c>
      <c r="E4" s="69">
        <v>2000</v>
      </c>
      <c r="F4" s="69">
        <v>4000</v>
      </c>
      <c r="G4" s="69">
        <v>8000</v>
      </c>
      <c r="H4" s="70"/>
      <c r="I4" s="71"/>
    </row>
    <row r="5" spans="1:9" x14ac:dyDescent="0.25">
      <c r="A5" s="68" t="s">
        <v>441</v>
      </c>
      <c r="B5" s="69"/>
      <c r="C5" s="69"/>
      <c r="D5" s="69"/>
      <c r="E5" s="69"/>
      <c r="F5" s="69"/>
      <c r="G5" s="69"/>
      <c r="H5" s="70"/>
      <c r="I5" s="71"/>
    </row>
    <row r="6" spans="1:9" x14ac:dyDescent="0.25">
      <c r="A6" s="68" t="s">
        <v>442</v>
      </c>
      <c r="B6" s="76" t="str">
        <f t="shared" ref="B6:G6" si="0">"Hi "&amp;MAX(B7:B34)&amp;" Lo "&amp;MIN(B7:B34)</f>
        <v>Hi 71 Lo 65</v>
      </c>
      <c r="C6" s="76" t="str">
        <f t="shared" si="0"/>
        <v>Hi 69 Lo 66</v>
      </c>
      <c r="D6" s="76" t="str">
        <f t="shared" si="0"/>
        <v>Hi 69 Lo 66</v>
      </c>
      <c r="E6" s="76" t="str">
        <f t="shared" si="0"/>
        <v>Hi 69 Lo 66</v>
      </c>
      <c r="F6" s="76" t="str">
        <f t="shared" si="0"/>
        <v>Hi 69 Lo 66</v>
      </c>
      <c r="G6" s="76" t="str">
        <f t="shared" si="0"/>
        <v>Hi 69 Lo 66</v>
      </c>
      <c r="H6" s="72"/>
      <c r="I6" s="73" t="s">
        <v>443</v>
      </c>
    </row>
    <row r="7" spans="1:9" x14ac:dyDescent="0.25">
      <c r="A7" s="68" t="s">
        <v>444</v>
      </c>
      <c r="B7" s="79">
        <v>66</v>
      </c>
      <c r="C7" s="79">
        <v>67</v>
      </c>
      <c r="D7" s="79">
        <v>67</v>
      </c>
      <c r="E7" s="79">
        <v>67</v>
      </c>
      <c r="F7" s="79">
        <v>67</v>
      </c>
      <c r="G7" s="79">
        <v>67</v>
      </c>
      <c r="H7" s="74"/>
      <c r="I7" s="75" t="str">
        <f>IF(COUNT(B7:G7)=0,"",IF(MAX(B7:G7)-MIN(B7:G7)&gt;6,"No","Yes"))</f>
        <v>Yes</v>
      </c>
    </row>
    <row r="8" spans="1:9" x14ac:dyDescent="0.25">
      <c r="A8" s="68" t="s">
        <v>445</v>
      </c>
      <c r="B8" s="79">
        <v>65</v>
      </c>
      <c r="C8" s="79">
        <v>66</v>
      </c>
      <c r="D8" s="79">
        <v>66</v>
      </c>
      <c r="E8" s="79">
        <v>66</v>
      </c>
      <c r="F8" s="79">
        <v>66</v>
      </c>
      <c r="G8" s="79">
        <v>66</v>
      </c>
      <c r="H8" s="74"/>
      <c r="I8" s="75" t="str">
        <f t="shared" ref="I8:I34" si="1">IF(COUNT(B8:G8)=0,"",IF(MAX(B8:G8)-MIN(B8:G8)&gt;6,"No","Yes"))</f>
        <v>Yes</v>
      </c>
    </row>
    <row r="9" spans="1:9" x14ac:dyDescent="0.25">
      <c r="A9" s="68" t="s">
        <v>446</v>
      </c>
      <c r="B9" s="79">
        <v>66</v>
      </c>
      <c r="C9" s="79">
        <v>68</v>
      </c>
      <c r="D9" s="79">
        <v>68</v>
      </c>
      <c r="E9" s="79">
        <v>68</v>
      </c>
      <c r="F9" s="79">
        <v>68</v>
      </c>
      <c r="G9" s="79">
        <v>68</v>
      </c>
      <c r="H9" s="74"/>
      <c r="I9" s="75" t="str">
        <f t="shared" si="1"/>
        <v>Yes</v>
      </c>
    </row>
    <row r="10" spans="1:9" x14ac:dyDescent="0.25">
      <c r="A10" s="68" t="s">
        <v>447</v>
      </c>
      <c r="B10" s="79">
        <v>71</v>
      </c>
      <c r="C10" s="79">
        <v>69</v>
      </c>
      <c r="D10" s="79">
        <v>69</v>
      </c>
      <c r="E10" s="79">
        <v>69</v>
      </c>
      <c r="F10" s="79">
        <v>69</v>
      </c>
      <c r="G10" s="79">
        <v>69</v>
      </c>
      <c r="H10" s="74"/>
      <c r="I10" s="75" t="str">
        <f t="shared" si="1"/>
        <v>Yes</v>
      </c>
    </row>
    <row r="11" spans="1:9" x14ac:dyDescent="0.25">
      <c r="A11" s="68" t="s">
        <v>448</v>
      </c>
      <c r="B11" s="79">
        <v>70</v>
      </c>
      <c r="C11" s="79">
        <v>66</v>
      </c>
      <c r="D11" s="79">
        <v>66</v>
      </c>
      <c r="E11" s="79">
        <v>66</v>
      </c>
      <c r="F11" s="79">
        <v>66</v>
      </c>
      <c r="G11" s="79">
        <v>66</v>
      </c>
      <c r="H11" s="74"/>
      <c r="I11" s="75" t="str">
        <f t="shared" si="1"/>
        <v>Yes</v>
      </c>
    </row>
    <row r="12" spans="1:9" x14ac:dyDescent="0.25">
      <c r="A12" s="68" t="s">
        <v>449</v>
      </c>
      <c r="B12" s="79">
        <v>71</v>
      </c>
      <c r="C12" s="79">
        <v>68</v>
      </c>
      <c r="D12" s="79">
        <v>68</v>
      </c>
      <c r="E12" s="79">
        <v>68</v>
      </c>
      <c r="F12" s="79">
        <v>68</v>
      </c>
      <c r="G12" s="79">
        <v>68</v>
      </c>
      <c r="H12" s="74"/>
      <c r="I12" s="75" t="str">
        <f t="shared" si="1"/>
        <v>Yes</v>
      </c>
    </row>
    <row r="13" spans="1:9" x14ac:dyDescent="0.25">
      <c r="A13" s="68" t="s">
        <v>450</v>
      </c>
      <c r="B13" s="79">
        <v>69</v>
      </c>
      <c r="C13" s="79">
        <v>67</v>
      </c>
      <c r="D13" s="79">
        <v>67</v>
      </c>
      <c r="E13" s="79">
        <v>67</v>
      </c>
      <c r="F13" s="79">
        <v>67</v>
      </c>
      <c r="G13" s="79">
        <v>67</v>
      </c>
      <c r="H13" s="74"/>
      <c r="I13" s="75" t="str">
        <f t="shared" si="1"/>
        <v>Yes</v>
      </c>
    </row>
    <row r="14" spans="1:9" x14ac:dyDescent="0.25">
      <c r="A14" s="68" t="s">
        <v>451</v>
      </c>
      <c r="B14" s="79">
        <v>69</v>
      </c>
      <c r="C14" s="79">
        <v>68</v>
      </c>
      <c r="D14" s="79">
        <v>68</v>
      </c>
      <c r="E14" s="79">
        <v>68</v>
      </c>
      <c r="F14" s="79">
        <v>68</v>
      </c>
      <c r="G14" s="79">
        <v>68</v>
      </c>
      <c r="H14" s="74"/>
      <c r="I14" s="75" t="str">
        <f t="shared" si="1"/>
        <v>Yes</v>
      </c>
    </row>
    <row r="15" spans="1:9" x14ac:dyDescent="0.25">
      <c r="A15" s="68" t="s">
        <v>452</v>
      </c>
      <c r="B15" s="79"/>
      <c r="C15" s="79"/>
      <c r="D15" s="79"/>
      <c r="E15" s="79"/>
      <c r="F15" s="79"/>
      <c r="G15" s="79"/>
      <c r="H15" s="74"/>
      <c r="I15" s="75" t="str">
        <f t="shared" si="1"/>
        <v/>
      </c>
    </row>
    <row r="16" spans="1:9" x14ac:dyDescent="0.25">
      <c r="A16" s="68" t="s">
        <v>453</v>
      </c>
      <c r="B16" s="79"/>
      <c r="C16" s="79"/>
      <c r="D16" s="79"/>
      <c r="E16" s="79"/>
      <c r="F16" s="79"/>
      <c r="G16" s="79"/>
      <c r="H16" s="74"/>
      <c r="I16" s="75" t="str">
        <f t="shared" si="1"/>
        <v/>
      </c>
    </row>
    <row r="17" spans="1:9" x14ac:dyDescent="0.25">
      <c r="A17" s="68" t="s">
        <v>454</v>
      </c>
      <c r="B17" s="79"/>
      <c r="C17" s="79"/>
      <c r="D17" s="79"/>
      <c r="E17" s="79"/>
      <c r="F17" s="79"/>
      <c r="G17" s="79"/>
      <c r="H17" s="74"/>
      <c r="I17" s="75" t="str">
        <f t="shared" si="1"/>
        <v/>
      </c>
    </row>
    <row r="18" spans="1:9" x14ac:dyDescent="0.25">
      <c r="A18" s="68" t="s">
        <v>455</v>
      </c>
      <c r="B18" s="79"/>
      <c r="C18" s="79"/>
      <c r="D18" s="79"/>
      <c r="E18" s="79"/>
      <c r="F18" s="79"/>
      <c r="G18" s="79"/>
      <c r="H18" s="74"/>
      <c r="I18" s="75" t="str">
        <f t="shared" si="1"/>
        <v/>
      </c>
    </row>
    <row r="19" spans="1:9" x14ac:dyDescent="0.25">
      <c r="A19" s="68" t="s">
        <v>456</v>
      </c>
      <c r="B19" s="79"/>
      <c r="C19" s="79"/>
      <c r="D19" s="79"/>
      <c r="E19" s="79"/>
      <c r="F19" s="79"/>
      <c r="G19" s="79"/>
      <c r="H19" s="74"/>
      <c r="I19" s="75" t="str">
        <f t="shared" si="1"/>
        <v/>
      </c>
    </row>
    <row r="20" spans="1:9" x14ac:dyDescent="0.25">
      <c r="A20" s="68" t="s">
        <v>457</v>
      </c>
      <c r="B20" s="79"/>
      <c r="C20" s="79"/>
      <c r="D20" s="79"/>
      <c r="E20" s="79"/>
      <c r="F20" s="79"/>
      <c r="G20" s="79"/>
      <c r="H20" s="74"/>
      <c r="I20" s="75" t="str">
        <f t="shared" si="1"/>
        <v/>
      </c>
    </row>
    <row r="21" spans="1:9" x14ac:dyDescent="0.25">
      <c r="A21" s="68" t="s">
        <v>458</v>
      </c>
      <c r="B21" s="79"/>
      <c r="C21" s="79"/>
      <c r="D21" s="79"/>
      <c r="E21" s="79"/>
      <c r="F21" s="79"/>
      <c r="G21" s="79"/>
      <c r="H21" s="74"/>
      <c r="I21" s="75" t="str">
        <f t="shared" si="1"/>
        <v/>
      </c>
    </row>
    <row r="22" spans="1:9" x14ac:dyDescent="0.25">
      <c r="A22" s="68" t="s">
        <v>459</v>
      </c>
      <c r="B22" s="79"/>
      <c r="C22" s="79"/>
      <c r="D22" s="79"/>
      <c r="E22" s="79"/>
      <c r="F22" s="79"/>
      <c r="G22" s="79"/>
      <c r="H22" s="74"/>
      <c r="I22" s="75" t="str">
        <f t="shared" si="1"/>
        <v/>
      </c>
    </row>
    <row r="23" spans="1:9" x14ac:dyDescent="0.25">
      <c r="A23" s="68" t="s">
        <v>460</v>
      </c>
      <c r="B23" s="79"/>
      <c r="C23" s="79"/>
      <c r="D23" s="79"/>
      <c r="E23" s="79"/>
      <c r="F23" s="79"/>
      <c r="G23" s="79"/>
      <c r="H23" s="74"/>
      <c r="I23" s="75" t="str">
        <f t="shared" si="1"/>
        <v/>
      </c>
    </row>
    <row r="24" spans="1:9" x14ac:dyDescent="0.25">
      <c r="A24" s="68" t="s">
        <v>461</v>
      </c>
      <c r="B24" s="79"/>
      <c r="C24" s="79"/>
      <c r="D24" s="79"/>
      <c r="E24" s="79"/>
      <c r="F24" s="79"/>
      <c r="G24" s="79"/>
      <c r="H24" s="74"/>
      <c r="I24" s="75" t="str">
        <f t="shared" si="1"/>
        <v/>
      </c>
    </row>
    <row r="25" spans="1:9" x14ac:dyDescent="0.25">
      <c r="A25" s="68" t="s">
        <v>462</v>
      </c>
      <c r="B25" s="79"/>
      <c r="C25" s="79"/>
      <c r="D25" s="79"/>
      <c r="E25" s="79"/>
      <c r="F25" s="79"/>
      <c r="G25" s="79"/>
      <c r="H25" s="74"/>
      <c r="I25" s="75" t="str">
        <f t="shared" si="1"/>
        <v/>
      </c>
    </row>
    <row r="26" spans="1:9" x14ac:dyDescent="0.25">
      <c r="A26" s="68" t="s">
        <v>463</v>
      </c>
      <c r="B26" s="79"/>
      <c r="C26" s="79"/>
      <c r="D26" s="79"/>
      <c r="E26" s="79"/>
      <c r="F26" s="79"/>
      <c r="G26" s="79"/>
      <c r="H26" s="74"/>
      <c r="I26" s="75" t="str">
        <f t="shared" si="1"/>
        <v/>
      </c>
    </row>
    <row r="27" spans="1:9" x14ac:dyDescent="0.25">
      <c r="A27" s="68" t="s">
        <v>464</v>
      </c>
      <c r="B27" s="79"/>
      <c r="C27" s="79"/>
      <c r="D27" s="79"/>
      <c r="E27" s="79"/>
      <c r="F27" s="79"/>
      <c r="G27" s="79"/>
      <c r="H27" s="74"/>
      <c r="I27" s="75" t="str">
        <f t="shared" si="1"/>
        <v/>
      </c>
    </row>
    <row r="28" spans="1:9" x14ac:dyDescent="0.25">
      <c r="A28" s="68" t="s">
        <v>465</v>
      </c>
      <c r="B28" s="79"/>
      <c r="C28" s="79"/>
      <c r="D28" s="79"/>
      <c r="E28" s="79"/>
      <c r="F28" s="79"/>
      <c r="G28" s="79"/>
      <c r="H28" s="74"/>
      <c r="I28" s="75" t="str">
        <f t="shared" si="1"/>
        <v/>
      </c>
    </row>
    <row r="29" spans="1:9" x14ac:dyDescent="0.25">
      <c r="A29" s="68" t="s">
        <v>466</v>
      </c>
      <c r="B29" s="79"/>
      <c r="C29" s="79"/>
      <c r="D29" s="79"/>
      <c r="E29" s="79"/>
      <c r="F29" s="79"/>
      <c r="G29" s="79"/>
      <c r="H29" s="74"/>
      <c r="I29" s="75" t="str">
        <f t="shared" si="1"/>
        <v/>
      </c>
    </row>
    <row r="30" spans="1:9" x14ac:dyDescent="0.25">
      <c r="A30" s="68" t="s">
        <v>467</v>
      </c>
      <c r="B30" s="79"/>
      <c r="C30" s="79"/>
      <c r="D30" s="79"/>
      <c r="E30" s="79"/>
      <c r="F30" s="79"/>
      <c r="G30" s="79"/>
      <c r="H30" s="74"/>
      <c r="I30" s="75" t="str">
        <f t="shared" si="1"/>
        <v/>
      </c>
    </row>
    <row r="31" spans="1:9" x14ac:dyDescent="0.25">
      <c r="A31" s="68" t="s">
        <v>468</v>
      </c>
      <c r="B31" s="79"/>
      <c r="C31" s="79"/>
      <c r="D31" s="79"/>
      <c r="E31" s="79"/>
      <c r="F31" s="79"/>
      <c r="G31" s="79"/>
      <c r="H31" s="74"/>
      <c r="I31" s="75" t="str">
        <f t="shared" si="1"/>
        <v/>
      </c>
    </row>
    <row r="32" spans="1:9" x14ac:dyDescent="0.25">
      <c r="A32" s="68" t="s">
        <v>469</v>
      </c>
      <c r="B32" s="79"/>
      <c r="C32" s="79"/>
      <c r="D32" s="79"/>
      <c r="E32" s="79"/>
      <c r="F32" s="79"/>
      <c r="G32" s="79"/>
      <c r="H32" s="74"/>
      <c r="I32" s="75" t="str">
        <f t="shared" si="1"/>
        <v/>
      </c>
    </row>
    <row r="33" spans="1:9" x14ac:dyDescent="0.25">
      <c r="A33" s="68" t="s">
        <v>470</v>
      </c>
      <c r="B33" s="79"/>
      <c r="C33" s="79"/>
      <c r="D33" s="79"/>
      <c r="E33" s="79"/>
      <c r="F33" s="79"/>
      <c r="G33" s="79"/>
      <c r="H33" s="74"/>
      <c r="I33" s="75" t="str">
        <f t="shared" si="1"/>
        <v/>
      </c>
    </row>
    <row r="34" spans="1:9" x14ac:dyDescent="0.25">
      <c r="A34" s="68" t="s">
        <v>471</v>
      </c>
      <c r="B34" s="79"/>
      <c r="C34" s="79"/>
      <c r="D34" s="79"/>
      <c r="E34" s="79"/>
      <c r="F34" s="79"/>
      <c r="G34" s="79"/>
      <c r="H34" s="74"/>
      <c r="I34" s="75" t="str">
        <f t="shared" si="1"/>
        <v/>
      </c>
    </row>
    <row r="35" spans="1:9" x14ac:dyDescent="0.25">
      <c r="A35" s="72" t="s">
        <v>472</v>
      </c>
      <c r="B35" s="76">
        <f t="shared" ref="B35:G35" si="2">MAX(B7:B34)-MIN(B7:B34)</f>
        <v>6</v>
      </c>
      <c r="C35" s="76">
        <f t="shared" si="2"/>
        <v>3</v>
      </c>
      <c r="D35" s="76">
        <f t="shared" si="2"/>
        <v>3</v>
      </c>
      <c r="E35" s="76">
        <f t="shared" si="2"/>
        <v>3</v>
      </c>
      <c r="F35" s="76">
        <f t="shared" si="2"/>
        <v>3</v>
      </c>
      <c r="G35" s="76">
        <f t="shared" si="2"/>
        <v>3</v>
      </c>
      <c r="H35" t="s">
        <v>489</v>
      </c>
      <c r="I35" s="76">
        <f>MAX(B7:G34)-MIN(B7:G34)</f>
        <v>6</v>
      </c>
    </row>
    <row r="36" spans="1:9" x14ac:dyDescent="0.25">
      <c r="A36" s="72" t="s">
        <v>485</v>
      </c>
      <c r="B36" s="76">
        <f t="shared" ref="B36:G36" si="3">COUNTA(B7:B34)</f>
        <v>8</v>
      </c>
      <c r="C36" s="76">
        <f t="shared" si="3"/>
        <v>8</v>
      </c>
      <c r="D36" s="76">
        <f t="shared" si="3"/>
        <v>8</v>
      </c>
      <c r="E36" s="76">
        <f t="shared" si="3"/>
        <v>8</v>
      </c>
      <c r="F36" s="76">
        <f t="shared" si="3"/>
        <v>8</v>
      </c>
      <c r="G36" s="76">
        <f t="shared" si="3"/>
        <v>8</v>
      </c>
      <c r="H36" t="s">
        <v>489</v>
      </c>
      <c r="I36" s="76">
        <f>COUNTA(B7:G34)</f>
        <v>48</v>
      </c>
    </row>
    <row r="37" spans="1:9" x14ac:dyDescent="0.25">
      <c r="A37" s="72" t="s">
        <v>473</v>
      </c>
      <c r="B37" s="79"/>
      <c r="C37" s="79"/>
      <c r="D37" s="79"/>
      <c r="E37" s="79"/>
      <c r="F37" s="79"/>
      <c r="G37" s="79"/>
      <c r="H37" s="80"/>
      <c r="I37" s="81">
        <f>SUM(B37:G37)</f>
        <v>0</v>
      </c>
    </row>
    <row r="38" spans="1:9" x14ac:dyDescent="0.25">
      <c r="A38" s="72" t="s">
        <v>474</v>
      </c>
      <c r="B38" s="82">
        <f t="shared" ref="B38:G38" si="4">IF(B37=0,0,(1-(B37/B36)))</f>
        <v>0</v>
      </c>
      <c r="C38" s="82">
        <f t="shared" si="4"/>
        <v>0</v>
      </c>
      <c r="D38" s="82">
        <f t="shared" si="4"/>
        <v>0</v>
      </c>
      <c r="E38" s="82">
        <f t="shared" si="4"/>
        <v>0</v>
      </c>
      <c r="F38" s="82">
        <f t="shared" si="4"/>
        <v>0</v>
      </c>
      <c r="G38" s="82">
        <f t="shared" si="4"/>
        <v>0</v>
      </c>
      <c r="H38" s="83" t="s">
        <v>489</v>
      </c>
      <c r="I38" s="82">
        <f>IF(I37=0,1,(1-(I37/I36)))</f>
        <v>1</v>
      </c>
    </row>
    <row r="39" spans="1:9" x14ac:dyDescent="0.25">
      <c r="A39" s="72"/>
      <c r="I39" s="77"/>
    </row>
    <row r="40" spans="1:9" x14ac:dyDescent="0.25">
      <c r="A40" s="72" t="s">
        <v>482</v>
      </c>
      <c r="I40" s="77"/>
    </row>
    <row r="41" spans="1:9" x14ac:dyDescent="0.25">
      <c r="A41" s="72" t="s">
        <v>483</v>
      </c>
      <c r="I41" s="77"/>
    </row>
    <row r="42" spans="1:9" x14ac:dyDescent="0.25">
      <c r="A42" s="72" t="s">
        <v>484</v>
      </c>
      <c r="I42" s="77"/>
    </row>
    <row r="43" spans="1:9" ht="13.8" thickBot="1" x14ac:dyDescent="0.3">
      <c r="A43" s="72"/>
      <c r="I43" s="77"/>
    </row>
    <row r="44" spans="1:9" ht="16.2" thickBot="1" x14ac:dyDescent="0.35">
      <c r="A44" s="150" t="s">
        <v>475</v>
      </c>
      <c r="B44" s="151"/>
      <c r="C44" s="78" t="s">
        <v>476</v>
      </c>
      <c r="D44" s="152"/>
      <c r="E44" s="153"/>
      <c r="F44" s="153"/>
      <c r="G44" s="153"/>
      <c r="H44" s="153"/>
      <c r="I44" s="154"/>
    </row>
    <row r="45" spans="1:9" ht="13.5" customHeight="1" thickTop="1" x14ac:dyDescent="0.25">
      <c r="A45" s="155" t="s">
        <v>477</v>
      </c>
      <c r="B45" s="156"/>
      <c r="C45" s="84" t="str">
        <f>IF(I38=1,"√","")</f>
        <v>√</v>
      </c>
      <c r="D45" s="157" t="s">
        <v>486</v>
      </c>
      <c r="E45" s="158"/>
      <c r="F45" s="158"/>
      <c r="G45" s="158"/>
      <c r="H45" s="158"/>
      <c r="I45" s="159"/>
    </row>
    <row r="46" spans="1:9" ht="13.5" customHeight="1" thickBot="1" x14ac:dyDescent="0.3">
      <c r="A46" s="145" t="s">
        <v>478</v>
      </c>
      <c r="B46" s="146"/>
      <c r="C46" s="85" t="str">
        <f>IF(I38&gt;=0.9,IF(I38=1,"","√"),"")</f>
        <v/>
      </c>
      <c r="D46" s="147" t="s">
        <v>487</v>
      </c>
      <c r="E46" s="148"/>
      <c r="F46" s="148"/>
      <c r="G46" s="148"/>
      <c r="H46" s="148"/>
      <c r="I46" s="149"/>
    </row>
    <row r="47" spans="1:9" ht="13.5" customHeight="1" thickBot="1" x14ac:dyDescent="0.3">
      <c r="A47" s="145" t="s">
        <v>479</v>
      </c>
      <c r="B47" s="146"/>
      <c r="C47" s="86" t="str">
        <f>IF(I38&lt;0.9,"√","")</f>
        <v/>
      </c>
      <c r="D47" s="147" t="s">
        <v>488</v>
      </c>
      <c r="E47" s="148"/>
      <c r="F47" s="148"/>
      <c r="G47" s="148"/>
      <c r="H47" s="148"/>
      <c r="I47" s="149"/>
    </row>
    <row r="48" spans="1:9" ht="13.5" customHeight="1" thickTop="1" thickBot="1" x14ac:dyDescent="0.3">
      <c r="A48" s="140" t="s">
        <v>480</v>
      </c>
      <c r="B48" s="141"/>
      <c r="C48" s="142" t="s">
        <v>443</v>
      </c>
      <c r="D48" s="143"/>
      <c r="E48" s="143"/>
      <c r="F48" s="143"/>
      <c r="G48" s="143"/>
      <c r="H48" s="143"/>
      <c r="I48" s="144"/>
    </row>
  </sheetData>
  <mergeCells count="10">
    <mergeCell ref="A48:B48"/>
    <mergeCell ref="C48:I48"/>
    <mergeCell ref="A46:B46"/>
    <mergeCell ref="D46:I46"/>
    <mergeCell ref="A44:B44"/>
    <mergeCell ref="D44:I44"/>
    <mergeCell ref="A45:B45"/>
    <mergeCell ref="D45:I45"/>
    <mergeCell ref="A47:B47"/>
    <mergeCell ref="D47:I47"/>
  </mergeCells>
  <phoneticPr fontId="3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zoomScaleNormal="100" workbookViewId="0">
      <selection activeCell="A5" sqref="A5"/>
    </sheetView>
  </sheetViews>
  <sheetFormatPr defaultRowHeight="13.2" x14ac:dyDescent="0.25"/>
  <cols>
    <col min="1" max="1" width="8.88671875" customWidth="1"/>
    <col min="10" max="10" width="11.44140625" customWidth="1"/>
    <col min="13" max="13" width="11" customWidth="1"/>
  </cols>
  <sheetData>
    <row r="1" spans="1:10" ht="17.399999999999999" x14ac:dyDescent="0.3">
      <c r="A1" s="89" t="s">
        <v>491</v>
      </c>
    </row>
    <row r="2" spans="1:10" ht="12.75" customHeight="1" x14ac:dyDescent="0.3">
      <c r="A2" s="89"/>
    </row>
    <row r="3" spans="1:10" x14ac:dyDescent="0.25">
      <c r="A3" s="4" t="s">
        <v>532</v>
      </c>
    </row>
    <row r="4" spans="1:10" x14ac:dyDescent="0.25">
      <c r="A4" s="4"/>
      <c r="B4" s="4" t="s">
        <v>498</v>
      </c>
      <c r="J4" s="4" t="s">
        <v>512</v>
      </c>
    </row>
    <row r="5" spans="1:10" x14ac:dyDescent="0.25">
      <c r="A5" s="87">
        <v>72</v>
      </c>
      <c r="B5" t="s">
        <v>497</v>
      </c>
      <c r="I5" s="87">
        <v>72</v>
      </c>
      <c r="J5" t="s">
        <v>497</v>
      </c>
    </row>
    <row r="6" spans="1:10" x14ac:dyDescent="0.25">
      <c r="A6" s="87">
        <v>10</v>
      </c>
      <c r="B6" s="54" t="s">
        <v>533</v>
      </c>
      <c r="I6" s="87">
        <v>10</v>
      </c>
      <c r="J6" s="54" t="s">
        <v>533</v>
      </c>
    </row>
    <row r="7" spans="1:10" x14ac:dyDescent="0.25">
      <c r="A7" s="87">
        <v>45</v>
      </c>
      <c r="B7" s="54" t="s">
        <v>509</v>
      </c>
      <c r="I7" s="87">
        <v>13.7</v>
      </c>
      <c r="J7" s="54" t="s">
        <v>508</v>
      </c>
    </row>
    <row r="8" spans="1:10" x14ac:dyDescent="0.25">
      <c r="A8" s="87">
        <v>89</v>
      </c>
      <c r="B8" s="54" t="s">
        <v>534</v>
      </c>
      <c r="I8" s="87">
        <v>89</v>
      </c>
      <c r="J8" s="54" t="s">
        <v>534</v>
      </c>
    </row>
    <row r="9" spans="1:10" x14ac:dyDescent="0.25">
      <c r="A9" s="12">
        <f>10^((A5+A6-(20*LOG(3.28/A7))-A8)/10)</f>
        <v>37.555827890875769</v>
      </c>
      <c r="B9" t="s">
        <v>499</v>
      </c>
      <c r="I9" s="12">
        <f>10^((I5+I6-(20*LOG(1/I7))-I8)/10)</f>
        <v>37.449078389650865</v>
      </c>
      <c r="J9" t="s">
        <v>499</v>
      </c>
    </row>
    <row r="12" spans="1:10" x14ac:dyDescent="0.25">
      <c r="B12" s="4" t="s">
        <v>513</v>
      </c>
      <c r="J12" s="4" t="s">
        <v>514</v>
      </c>
    </row>
    <row r="13" spans="1:10" x14ac:dyDescent="0.25">
      <c r="A13" s="87">
        <v>72</v>
      </c>
      <c r="B13" t="s">
        <v>497</v>
      </c>
      <c r="I13" s="87">
        <v>72</v>
      </c>
      <c r="J13" t="s">
        <v>497</v>
      </c>
    </row>
    <row r="14" spans="1:10" x14ac:dyDescent="0.25">
      <c r="A14" s="87">
        <v>10</v>
      </c>
      <c r="B14" s="54" t="s">
        <v>533</v>
      </c>
      <c r="I14" s="87">
        <v>10</v>
      </c>
      <c r="J14" s="54" t="s">
        <v>533</v>
      </c>
    </row>
    <row r="15" spans="1:10" x14ac:dyDescent="0.25">
      <c r="A15" s="87">
        <v>45</v>
      </c>
      <c r="B15" s="54" t="s">
        <v>509</v>
      </c>
      <c r="I15" s="87">
        <v>13.7</v>
      </c>
      <c r="J15" s="54" t="s">
        <v>508</v>
      </c>
    </row>
    <row r="16" spans="1:10" x14ac:dyDescent="0.25">
      <c r="A16" s="87">
        <v>89</v>
      </c>
      <c r="B16" s="54" t="s">
        <v>534</v>
      </c>
      <c r="I16" s="87">
        <v>89</v>
      </c>
      <c r="J16" s="54" t="s">
        <v>534</v>
      </c>
    </row>
    <row r="17" spans="1:15" x14ac:dyDescent="0.25">
      <c r="A17" s="87">
        <v>8</v>
      </c>
      <c r="B17" s="54" t="s">
        <v>507</v>
      </c>
      <c r="I17" s="87">
        <v>8</v>
      </c>
      <c r="J17" s="54" t="s">
        <v>507</v>
      </c>
    </row>
    <row r="18" spans="1:15" x14ac:dyDescent="0.25">
      <c r="A18" s="87">
        <v>100</v>
      </c>
      <c r="B18" s="54" t="s">
        <v>500</v>
      </c>
      <c r="I18" s="87">
        <v>33</v>
      </c>
      <c r="J18" s="54" t="s">
        <v>510</v>
      </c>
      <c r="K18" s="54"/>
      <c r="L18" s="54"/>
      <c r="M18" s="54"/>
    </row>
    <row r="19" spans="1:15" x14ac:dyDescent="0.25">
      <c r="A19" s="87">
        <v>24</v>
      </c>
      <c r="B19" s="54" t="s">
        <v>504</v>
      </c>
      <c r="I19" s="87">
        <v>0.51100000000000001</v>
      </c>
      <c r="J19" s="54" t="s">
        <v>515</v>
      </c>
      <c r="K19" s="12"/>
      <c r="L19" s="88"/>
      <c r="M19" s="12"/>
    </row>
    <row r="20" spans="1:15" x14ac:dyDescent="0.25">
      <c r="A20">
        <f>VLOOKUP(A19,I27:J36,2)</f>
        <v>5.24</v>
      </c>
      <c r="B20" s="54" t="s">
        <v>505</v>
      </c>
      <c r="I20">
        <f>INDEX(M27:M36,MATCH(I19,L27:L36,0))</f>
        <v>17.2</v>
      </c>
      <c r="J20" s="54" t="s">
        <v>511</v>
      </c>
      <c r="K20" s="12"/>
      <c r="L20" s="12"/>
      <c r="M20" s="12"/>
    </row>
    <row r="21" spans="1:15" x14ac:dyDescent="0.25">
      <c r="A21">
        <f>A20/100*A18*2</f>
        <v>10.48</v>
      </c>
      <c r="B21" s="54" t="s">
        <v>506</v>
      </c>
      <c r="I21">
        <f>I20/100*I18*2</f>
        <v>11.351999999999999</v>
      </c>
      <c r="J21" s="54" t="s">
        <v>535</v>
      </c>
      <c r="K21" s="12"/>
      <c r="L21" s="12"/>
      <c r="M21" s="12"/>
      <c r="N21" s="12"/>
      <c r="O21" s="12"/>
    </row>
    <row r="22" spans="1:15" x14ac:dyDescent="0.25">
      <c r="A22" s="12">
        <f>10^((A13+A14-(20*LOG(3.28/A15))-(10*LOG(A17/(A17+A21)))-A16)/10)</f>
        <v>86.753962427922957</v>
      </c>
      <c r="B22" t="s">
        <v>499</v>
      </c>
      <c r="I22" s="12">
        <f>10^((I13+I14-(20*LOG(1/I15))-(10*LOG(I17/(I17+I21)))-I16)/10)</f>
        <v>90.58932062456546</v>
      </c>
      <c r="J22" s="54" t="s">
        <v>536</v>
      </c>
      <c r="K22" s="12"/>
      <c r="L22" s="12"/>
      <c r="M22" s="12"/>
      <c r="N22" s="12"/>
    </row>
    <row r="23" spans="1:15" x14ac:dyDescent="0.25">
      <c r="A23" s="4" t="s">
        <v>537</v>
      </c>
      <c r="I23" s="54"/>
    </row>
    <row r="24" spans="1:15" ht="13.8" thickBot="1" x14ac:dyDescent="0.3"/>
    <row r="25" spans="1:15" x14ac:dyDescent="0.25">
      <c r="B25" s="4" t="s">
        <v>492</v>
      </c>
      <c r="I25" s="90" t="s">
        <v>194</v>
      </c>
      <c r="J25" s="91" t="s">
        <v>501</v>
      </c>
      <c r="K25" s="91"/>
      <c r="L25" s="91" t="s">
        <v>502</v>
      </c>
      <c r="M25" s="92" t="s">
        <v>503</v>
      </c>
    </row>
    <row r="26" spans="1:15" x14ac:dyDescent="0.25">
      <c r="A26" s="87">
        <v>750</v>
      </c>
      <c r="B26" s="54" t="s">
        <v>538</v>
      </c>
      <c r="I26" s="93"/>
      <c r="J26" s="94"/>
      <c r="K26" s="94"/>
      <c r="L26" s="94"/>
      <c r="M26" s="95"/>
    </row>
    <row r="27" spans="1:15" x14ac:dyDescent="0.25">
      <c r="A27" s="87">
        <v>1.23</v>
      </c>
      <c r="B27" s="54" t="s">
        <v>539</v>
      </c>
      <c r="I27" s="93">
        <v>10</v>
      </c>
      <c r="J27" s="94">
        <v>0.20399999999999999</v>
      </c>
      <c r="K27" s="94"/>
      <c r="L27" s="94">
        <v>2.5880000000000001</v>
      </c>
      <c r="M27" s="95">
        <v>0.66900000000000004</v>
      </c>
    </row>
    <row r="28" spans="1:15" x14ac:dyDescent="0.25">
      <c r="A28" s="87">
        <v>8</v>
      </c>
      <c r="B28" t="s">
        <v>493</v>
      </c>
      <c r="I28" s="93">
        <v>12</v>
      </c>
      <c r="J28" s="94">
        <v>0.32400000000000001</v>
      </c>
      <c r="K28" s="94"/>
      <c r="L28" s="94">
        <v>2.0529999999999999</v>
      </c>
      <c r="M28" s="95">
        <v>1.06</v>
      </c>
    </row>
    <row r="29" spans="1:15" x14ac:dyDescent="0.25">
      <c r="A29" s="12">
        <f>SQRT(A26*A28)</f>
        <v>77.459666924148337</v>
      </c>
      <c r="B29" t="s">
        <v>494</v>
      </c>
      <c r="I29" s="93">
        <v>14</v>
      </c>
      <c r="J29" s="94">
        <v>0.51600000000000001</v>
      </c>
      <c r="K29" s="94"/>
      <c r="L29" s="94">
        <v>1.6279999999999999</v>
      </c>
      <c r="M29" s="95">
        <v>1.69</v>
      </c>
    </row>
    <row r="30" spans="1:15" x14ac:dyDescent="0.25">
      <c r="A30" s="12">
        <f>SQRT(A26/A28)</f>
        <v>9.6824583655185421</v>
      </c>
      <c r="B30" t="s">
        <v>495</v>
      </c>
      <c r="I30" s="93">
        <v>16</v>
      </c>
      <c r="J30" s="94">
        <v>0.81799999999999995</v>
      </c>
      <c r="K30" s="94"/>
      <c r="L30" s="94">
        <v>1.2909999999999999</v>
      </c>
      <c r="M30" s="95">
        <v>2.68</v>
      </c>
    </row>
    <row r="31" spans="1:15" x14ac:dyDescent="0.25">
      <c r="A31" s="87">
        <v>22</v>
      </c>
      <c r="B31" s="54" t="s">
        <v>540</v>
      </c>
      <c r="I31" s="93">
        <v>18</v>
      </c>
      <c r="J31" s="94">
        <v>1.3</v>
      </c>
      <c r="K31" s="94"/>
      <c r="L31" s="94">
        <v>1.024</v>
      </c>
      <c r="M31" s="95">
        <v>4.2699999999999996</v>
      </c>
    </row>
    <row r="32" spans="1:15" x14ac:dyDescent="0.25">
      <c r="A32" s="12">
        <f>SQRT(A31*A28)</f>
        <v>13.266499161421599</v>
      </c>
      <c r="B32" t="s">
        <v>496</v>
      </c>
      <c r="I32" s="93">
        <v>20</v>
      </c>
      <c r="J32" s="94">
        <v>2.08</v>
      </c>
      <c r="K32" s="94"/>
      <c r="L32" s="94">
        <v>0.81200000000000006</v>
      </c>
      <c r="M32" s="95">
        <v>6.82</v>
      </c>
    </row>
    <row r="33" spans="1:13" x14ac:dyDescent="0.25">
      <c r="A33" s="12">
        <f>A29/A27</f>
        <v>62.975338962722226</v>
      </c>
      <c r="B33" s="54" t="s">
        <v>541</v>
      </c>
      <c r="I33" s="93">
        <v>22</v>
      </c>
      <c r="J33" s="94">
        <v>3.3</v>
      </c>
      <c r="K33" s="94"/>
      <c r="L33" s="94">
        <v>0.64400000000000002</v>
      </c>
      <c r="M33" s="95">
        <v>10.8</v>
      </c>
    </row>
    <row r="34" spans="1:13" x14ac:dyDescent="0.25">
      <c r="A34" s="45">
        <f>A32/A33</f>
        <v>0.21066181429010811</v>
      </c>
      <c r="B34" s="54" t="s">
        <v>542</v>
      </c>
      <c r="I34" s="93">
        <v>24</v>
      </c>
      <c r="J34" s="94">
        <v>5.24</v>
      </c>
      <c r="K34" s="94"/>
      <c r="L34" s="94">
        <v>0.51100000000000001</v>
      </c>
      <c r="M34" s="95">
        <v>17.2</v>
      </c>
    </row>
    <row r="35" spans="1:13" x14ac:dyDescent="0.25">
      <c r="I35" s="93">
        <v>26</v>
      </c>
      <c r="J35" s="94">
        <v>8.32</v>
      </c>
      <c r="K35" s="94"/>
      <c r="L35" s="94">
        <v>0.40500000000000003</v>
      </c>
      <c r="M35" s="95">
        <v>27.3</v>
      </c>
    </row>
    <row r="36" spans="1:13" ht="13.8" thickBot="1" x14ac:dyDescent="0.3">
      <c r="I36" s="96">
        <v>28</v>
      </c>
      <c r="J36" s="97">
        <v>13.2</v>
      </c>
      <c r="K36" s="97"/>
      <c r="L36" s="97">
        <v>0.32100000000000001</v>
      </c>
      <c r="M36" s="98">
        <v>43.4</v>
      </c>
    </row>
    <row r="38" spans="1:13" x14ac:dyDescent="0.25">
      <c r="B38" s="4" t="s">
        <v>543</v>
      </c>
    </row>
    <row r="39" spans="1:13" x14ac:dyDescent="0.25">
      <c r="A39" s="87">
        <v>8</v>
      </c>
      <c r="B39" t="s">
        <v>493</v>
      </c>
      <c r="I39" s="100" t="s">
        <v>518</v>
      </c>
      <c r="J39" s="100" t="s">
        <v>519</v>
      </c>
      <c r="K39" s="100" t="s">
        <v>520</v>
      </c>
    </row>
    <row r="40" spans="1:13" x14ac:dyDescent="0.25">
      <c r="A40" s="87">
        <v>50</v>
      </c>
      <c r="B40" t="s">
        <v>516</v>
      </c>
      <c r="I40" s="99">
        <v>227</v>
      </c>
      <c r="J40" s="54">
        <v>12</v>
      </c>
      <c r="K40" s="54">
        <v>1.7</v>
      </c>
    </row>
    <row r="41" spans="1:13" x14ac:dyDescent="0.25">
      <c r="A41" s="45">
        <f>(((A39*0.05)/A40/2))</f>
        <v>4.0000000000000001E-3</v>
      </c>
      <c r="B41" s="54" t="s">
        <v>517</v>
      </c>
      <c r="I41" s="99">
        <v>226</v>
      </c>
      <c r="J41" s="54">
        <v>14</v>
      </c>
      <c r="K41" s="54">
        <v>2.7</v>
      </c>
    </row>
    <row r="42" spans="1:13" x14ac:dyDescent="0.25">
      <c r="A42" s="45">
        <f>10*LOG((A41*1000)+10)</f>
        <v>11.46128035678238</v>
      </c>
      <c r="B42" s="54" t="s">
        <v>521</v>
      </c>
      <c r="I42" s="99">
        <v>225</v>
      </c>
      <c r="J42" s="54">
        <v>16</v>
      </c>
      <c r="K42" s="54">
        <v>4.2</v>
      </c>
    </row>
    <row r="43" spans="1:13" x14ac:dyDescent="0.25">
      <c r="A43">
        <f>INDEX(I27:I36,MATCH(A42,I27:I36,1))</f>
        <v>10</v>
      </c>
      <c r="B43" s="54" t="s">
        <v>544</v>
      </c>
      <c r="I43" s="99">
        <v>224</v>
      </c>
      <c r="J43" s="54">
        <v>18</v>
      </c>
      <c r="K43" s="54">
        <v>6.2</v>
      </c>
    </row>
    <row r="44" spans="1:13" x14ac:dyDescent="0.25">
      <c r="I44" s="99">
        <v>222</v>
      </c>
      <c r="J44" s="54">
        <v>20</v>
      </c>
      <c r="K44" s="54">
        <v>10.5</v>
      </c>
    </row>
    <row r="45" spans="1:13" x14ac:dyDescent="0.25">
      <c r="I45" s="99">
        <v>221</v>
      </c>
      <c r="J45" s="54">
        <v>22</v>
      </c>
      <c r="K45" s="54">
        <v>17</v>
      </c>
    </row>
    <row r="46" spans="1:13" x14ac:dyDescent="0.25">
      <c r="I46" s="99"/>
      <c r="J46" s="54"/>
      <c r="K46" s="54"/>
    </row>
    <row r="47" spans="1:13" x14ac:dyDescent="0.25">
      <c r="A47" s="111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</row>
    <row r="49" spans="1:12" x14ac:dyDescent="0.25">
      <c r="A49" s="4" t="s">
        <v>545</v>
      </c>
    </row>
    <row r="50" spans="1:12" x14ac:dyDescent="0.25">
      <c r="B50" s="4" t="s">
        <v>546</v>
      </c>
      <c r="G50" s="4" t="s">
        <v>547</v>
      </c>
      <c r="L50" s="4" t="s">
        <v>548</v>
      </c>
    </row>
    <row r="51" spans="1:12" x14ac:dyDescent="0.25">
      <c r="A51" s="87">
        <v>70</v>
      </c>
      <c r="B51" t="s">
        <v>497</v>
      </c>
      <c r="F51" s="87">
        <v>80</v>
      </c>
      <c r="G51" t="s">
        <v>497</v>
      </c>
      <c r="K51" s="87">
        <v>70</v>
      </c>
      <c r="L51" t="s">
        <v>497</v>
      </c>
    </row>
    <row r="52" spans="1:12" x14ac:dyDescent="0.25">
      <c r="A52" s="87">
        <v>10</v>
      </c>
      <c r="B52" s="54" t="s">
        <v>533</v>
      </c>
      <c r="F52">
        <f>A52</f>
        <v>10</v>
      </c>
      <c r="G52" s="54" t="s">
        <v>533</v>
      </c>
      <c r="K52">
        <f>A52</f>
        <v>10</v>
      </c>
      <c r="L52" s="54" t="s">
        <v>533</v>
      </c>
    </row>
    <row r="53" spans="1:12" x14ac:dyDescent="0.25">
      <c r="A53" s="87">
        <v>10</v>
      </c>
      <c r="B53" s="54" t="s">
        <v>549</v>
      </c>
      <c r="F53" s="87">
        <v>10</v>
      </c>
      <c r="G53" s="54" t="s">
        <v>549</v>
      </c>
      <c r="K53" s="87">
        <v>10</v>
      </c>
      <c r="L53" s="54" t="s">
        <v>549</v>
      </c>
    </row>
    <row r="54" spans="1:12" x14ac:dyDescent="0.25">
      <c r="A54" s="87">
        <v>4</v>
      </c>
      <c r="B54" s="54" t="s">
        <v>550</v>
      </c>
      <c r="F54" s="87">
        <v>4</v>
      </c>
      <c r="G54" s="54" t="s">
        <v>550</v>
      </c>
      <c r="K54" s="87">
        <v>4</v>
      </c>
      <c r="L54" s="54" t="s">
        <v>550</v>
      </c>
    </row>
    <row r="55" spans="1:12" x14ac:dyDescent="0.25">
      <c r="A55" s="87">
        <v>85</v>
      </c>
      <c r="B55" s="54" t="s">
        <v>534</v>
      </c>
      <c r="F55" s="87">
        <v>89</v>
      </c>
      <c r="G55" s="54" t="s">
        <v>534</v>
      </c>
      <c r="K55" s="87">
        <v>89</v>
      </c>
      <c r="L55" s="54" t="s">
        <v>534</v>
      </c>
    </row>
    <row r="56" spans="1:12" x14ac:dyDescent="0.25">
      <c r="A56" s="45">
        <f>10^((A51+A52+(20*LOG(3.3/(A53-A54)))-A55)/10)</f>
        <v>9.5658899220093255E-2</v>
      </c>
      <c r="B56" s="54" t="s">
        <v>551</v>
      </c>
      <c r="F56" s="45">
        <f>10^((F51+F52+(20*LOG(3.3/(F53-F54)))-F55)/10)</f>
        <v>0.38082493706773479</v>
      </c>
      <c r="G56" s="54" t="s">
        <v>551</v>
      </c>
      <c r="K56" s="45">
        <f>10^((K51+K52+(20*LOG(3.3/(K53-K54)))-K55)/10)</f>
        <v>3.8082493706773461E-2</v>
      </c>
      <c r="L56" s="54" t="s">
        <v>551</v>
      </c>
    </row>
    <row r="57" spans="1:12" x14ac:dyDescent="0.25">
      <c r="A57" s="87">
        <v>1</v>
      </c>
      <c r="B57" s="54" t="s">
        <v>552</v>
      </c>
      <c r="F57" s="87">
        <v>1</v>
      </c>
      <c r="G57" s="54" t="s">
        <v>552</v>
      </c>
      <c r="K57" s="87">
        <v>1</v>
      </c>
      <c r="L57" s="54" t="s">
        <v>552</v>
      </c>
    </row>
    <row r="58" spans="1:12" x14ac:dyDescent="0.25">
      <c r="A58" s="87">
        <v>4</v>
      </c>
      <c r="B58" s="54" t="s">
        <v>553</v>
      </c>
      <c r="F58" s="87">
        <v>4</v>
      </c>
      <c r="G58" s="54" t="s">
        <v>553</v>
      </c>
      <c r="K58" s="87">
        <v>4</v>
      </c>
      <c r="L58" s="54" t="s">
        <v>553</v>
      </c>
    </row>
    <row r="59" spans="1:12" x14ac:dyDescent="0.25">
      <c r="A59">
        <f>A57*A58</f>
        <v>4</v>
      </c>
      <c r="B59" s="54" t="s">
        <v>554</v>
      </c>
      <c r="F59">
        <f>F57*F58</f>
        <v>4</v>
      </c>
      <c r="G59" s="54" t="s">
        <v>554</v>
      </c>
      <c r="K59">
        <f>K57*K58</f>
        <v>4</v>
      </c>
      <c r="L59" s="54" t="s">
        <v>554</v>
      </c>
    </row>
    <row r="62" spans="1:12" x14ac:dyDescent="0.25">
      <c r="A62">
        <f>A59+F59+K59</f>
        <v>12</v>
      </c>
      <c r="B62" s="54" t="s">
        <v>555</v>
      </c>
      <c r="H62" s="12">
        <f>(A56*A58)+(F56*F58)+(K56*K58)</f>
        <v>2.058265319978406</v>
      </c>
      <c r="I62" s="54" t="s">
        <v>556</v>
      </c>
    </row>
    <row r="63" spans="1:12" x14ac:dyDescent="0.25">
      <c r="A63">
        <f>A62*1.5</f>
        <v>18</v>
      </c>
      <c r="B63" s="54" t="s">
        <v>557</v>
      </c>
      <c r="H63" s="12">
        <f>H62*1.5</f>
        <v>3.087397979967609</v>
      </c>
      <c r="I63" s="54" t="s">
        <v>557</v>
      </c>
    </row>
    <row r="64" spans="1:12" x14ac:dyDescent="0.25">
      <c r="A64">
        <f>A63</f>
        <v>18</v>
      </c>
      <c r="B64" s="54" t="s">
        <v>558</v>
      </c>
      <c r="H64" s="112">
        <f>1-(H63/A64)</f>
        <v>0.8284778900017995</v>
      </c>
      <c r="I64" s="54" t="s">
        <v>559</v>
      </c>
    </row>
    <row r="67" spans="1:1" x14ac:dyDescent="0.25">
      <c r="A67" s="4"/>
    </row>
  </sheetData>
  <sheetProtection sheet="1"/>
  <protectedRanges>
    <protectedRange sqref="I5:I8 I13:I19 A5:A8 A13:A19 A26:A28 A31" name="Range3"/>
  </protectedRanges>
  <pageMargins left="0.7" right="0.7" top="0.75" bottom="0.75" header="0.3" footer="0.3"/>
  <pageSetup orientation="portrait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5" sqref="A5"/>
    </sheetView>
  </sheetViews>
  <sheetFormatPr defaultRowHeight="13.2" x14ac:dyDescent="0.25"/>
  <cols>
    <col min="1" max="1" width="15.5546875" customWidth="1"/>
  </cols>
  <sheetData>
    <row r="1" spans="1:7" x14ac:dyDescent="0.25">
      <c r="A1" s="4" t="s">
        <v>564</v>
      </c>
    </row>
    <row r="3" spans="1:7" x14ac:dyDescent="0.25">
      <c r="A3" s="87">
        <v>1000</v>
      </c>
      <c r="B3" t="s">
        <v>562</v>
      </c>
    </row>
    <row r="4" spans="1:7" x14ac:dyDescent="0.25">
      <c r="A4" s="87">
        <v>10000</v>
      </c>
      <c r="B4" t="s">
        <v>563</v>
      </c>
    </row>
    <row r="5" spans="1:7" x14ac:dyDescent="0.25">
      <c r="A5" s="87">
        <v>3</v>
      </c>
      <c r="B5" t="s">
        <v>561</v>
      </c>
    </row>
    <row r="6" spans="1:7" x14ac:dyDescent="0.25">
      <c r="G6" s="4" t="s">
        <v>560</v>
      </c>
    </row>
    <row r="7" spans="1:7" x14ac:dyDescent="0.25">
      <c r="B7" t="s">
        <v>565</v>
      </c>
    </row>
    <row r="8" spans="1:7" x14ac:dyDescent="0.25">
      <c r="A8" s="12">
        <f>A4*((10^(A5/20)-1)/(10^(A5/20)+1))</f>
        <v>1709.9735734361905</v>
      </c>
      <c r="B8" t="s">
        <v>568</v>
      </c>
    </row>
    <row r="9" spans="1:7" x14ac:dyDescent="0.25">
      <c r="A9" s="12">
        <f>A3*((10^(A5/20)-1)/(10^(A5/20)+1))</f>
        <v>170.99735734361903</v>
      </c>
      <c r="B9" t="s">
        <v>570</v>
      </c>
    </row>
    <row r="10" spans="1:7" x14ac:dyDescent="0.25">
      <c r="A10" s="12">
        <f>2*A4*((10^(A5/20)/(((10^(A5/20))^2)-1)))</f>
        <v>28385.231177308713</v>
      </c>
      <c r="B10" t="s">
        <v>567</v>
      </c>
    </row>
    <row r="11" spans="1:7" x14ac:dyDescent="0.25">
      <c r="A11" s="12"/>
    </row>
    <row r="12" spans="1:7" x14ac:dyDescent="0.25">
      <c r="A12" s="12"/>
      <c r="B12" t="s">
        <v>566</v>
      </c>
    </row>
    <row r="13" spans="1:7" x14ac:dyDescent="0.25">
      <c r="A13" s="12">
        <f>A4*((10^(A5/20)-1)/(10^(A5/20)+1))/2</f>
        <v>854.98678671809523</v>
      </c>
      <c r="B13" t="s">
        <v>569</v>
      </c>
    </row>
    <row r="14" spans="1:7" x14ac:dyDescent="0.25">
      <c r="A14" s="12">
        <f>A3*((10^(A5/20)-1)/(10^(A5/20)+1))/2</f>
        <v>85.498678671809515</v>
      </c>
      <c r="B14" t="s">
        <v>573</v>
      </c>
    </row>
    <row r="15" spans="1:7" x14ac:dyDescent="0.25">
      <c r="A15" s="12">
        <f>2*A4*((10^(A5/20)/(((10^(A5/20))^2)-1)))</f>
        <v>28385.231177308713</v>
      </c>
      <c r="B15" t="s">
        <v>567</v>
      </c>
    </row>
    <row r="18" spans="1:7" x14ac:dyDescent="0.25">
      <c r="A18" s="87">
        <v>1000</v>
      </c>
      <c r="B18" t="s">
        <v>562</v>
      </c>
    </row>
    <row r="19" spans="1:7" x14ac:dyDescent="0.25">
      <c r="A19" s="87">
        <v>10000</v>
      </c>
      <c r="B19" t="s">
        <v>563</v>
      </c>
      <c r="G19" s="4" t="s">
        <v>574</v>
      </c>
    </row>
    <row r="20" spans="1:7" x14ac:dyDescent="0.25">
      <c r="A20" s="87">
        <v>3</v>
      </c>
      <c r="B20" t="s">
        <v>571</v>
      </c>
    </row>
    <row r="21" spans="1:7" x14ac:dyDescent="0.25">
      <c r="A21" s="87">
        <v>1</v>
      </c>
      <c r="B21" t="s">
        <v>572</v>
      </c>
    </row>
    <row r="22" spans="1:7" x14ac:dyDescent="0.25">
      <c r="A22" s="12">
        <f>20*LOG(A20/A21)</f>
        <v>9.5424250943932485</v>
      </c>
      <c r="B22" t="s">
        <v>561</v>
      </c>
    </row>
    <row r="24" spans="1:7" x14ac:dyDescent="0.25">
      <c r="B24" t="s">
        <v>565</v>
      </c>
    </row>
    <row r="25" spans="1:7" x14ac:dyDescent="0.25">
      <c r="A25" s="12">
        <f>A19*((10^(A22/20)-1)/(10^(A22/20)+1))</f>
        <v>5000.0000000000009</v>
      </c>
      <c r="B25" t="s">
        <v>568</v>
      </c>
    </row>
    <row r="26" spans="1:7" x14ac:dyDescent="0.25">
      <c r="A26" s="12">
        <f>A18*((10^(A22/20)-1)/(10^(A22/20)+1))</f>
        <v>500.00000000000011</v>
      </c>
      <c r="B26" t="s">
        <v>570</v>
      </c>
    </row>
    <row r="27" spans="1:7" x14ac:dyDescent="0.25">
      <c r="A27" s="12">
        <f>2*A19*((10^(A22/20)/(((10^(A22/20))^2)-1)))</f>
        <v>7499.9999999999982</v>
      </c>
      <c r="B27" t="s">
        <v>567</v>
      </c>
    </row>
    <row r="28" spans="1:7" x14ac:dyDescent="0.25">
      <c r="A28" s="12"/>
    </row>
    <row r="29" spans="1:7" x14ac:dyDescent="0.25">
      <c r="A29" s="12"/>
      <c r="B29" t="s">
        <v>566</v>
      </c>
    </row>
    <row r="30" spans="1:7" x14ac:dyDescent="0.25">
      <c r="A30" s="12">
        <f>A19*((10^(A22/20)-1)/(10^(A22/20)+1))/2</f>
        <v>2500.0000000000005</v>
      </c>
      <c r="B30" t="s">
        <v>569</v>
      </c>
    </row>
    <row r="31" spans="1:7" x14ac:dyDescent="0.25">
      <c r="A31" s="12">
        <f>A18*((10^(A22/20)-1)/(10^(A22/20)+1))/2</f>
        <v>250.00000000000006</v>
      </c>
      <c r="B31" t="s">
        <v>573</v>
      </c>
    </row>
    <row r="32" spans="1:7" x14ac:dyDescent="0.25">
      <c r="A32" s="12">
        <f>2*A19*((10^(A22/20)/(((10^(A22/20))^2)-1)))</f>
        <v>7499.9999999999982</v>
      </c>
      <c r="B32" t="s">
        <v>567</v>
      </c>
    </row>
  </sheetData>
  <sheetProtection sheet="1"/>
  <protectedRanges>
    <protectedRange sqref="A3:A5 A18:A21" name="Range1"/>
  </protectedRange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D3" sqref="D3"/>
    </sheetView>
  </sheetViews>
  <sheetFormatPr defaultRowHeight="13.2" x14ac:dyDescent="0.25"/>
  <cols>
    <col min="1" max="1" width="8.88671875" style="115" customWidth="1"/>
    <col min="2" max="3" width="8.88671875" style="115"/>
    <col min="4" max="4" width="9.5546875" style="115" bestFit="1" customWidth="1"/>
    <col min="5" max="16384" width="8.88671875" style="115"/>
  </cols>
  <sheetData>
    <row r="1" spans="1:11" x14ac:dyDescent="0.25">
      <c r="A1" s="114" t="s">
        <v>628</v>
      </c>
    </row>
    <row r="2" spans="1:11" x14ac:dyDescent="0.25">
      <c r="A2" s="114"/>
    </row>
    <row r="3" spans="1:11" x14ac:dyDescent="0.25">
      <c r="C3" s="116" t="s">
        <v>630</v>
      </c>
      <c r="D3" s="117">
        <v>15</v>
      </c>
      <c r="E3" s="115" t="s">
        <v>629</v>
      </c>
    </row>
    <row r="4" spans="1:11" x14ac:dyDescent="0.25">
      <c r="A4" s="114"/>
      <c r="C4" s="116" t="s">
        <v>631</v>
      </c>
      <c r="D4" s="114" t="str">
        <f>IF(D5=0,"Conforms",IF(D5&gt;4,"Fails to Conform","Partially Conforms"))</f>
        <v>Partially Conforms</v>
      </c>
    </row>
    <row r="5" spans="1:11" hidden="1" x14ac:dyDescent="0.25">
      <c r="A5" s="114"/>
      <c r="C5" s="116"/>
      <c r="D5" s="118">
        <f>IF(C17/B17&gt;=$D$3,0,IF(C17/B17&gt;=$D$3*0.9,"1","10"))+IF(K17/J17&gt;=$D$3,0,IF(K17/J17&gt;=$D$3*0.9,"1","10"))+IF(G25/F25&gt;=$D$3,"0",IF(G25/F25&gt;=$D$3*0.9,1,"10"))+IF(C32/B32&gt;=$D$3,0,IF(C32/B32&gt;=$D$3*0.9,1,10))+IF(K32/J32&gt;=$D$3,0,IF(K32/J32&gt;=$D$3*0.9,1,10))</f>
        <v>4</v>
      </c>
    </row>
    <row r="7" spans="1:11" ht="13.8" thickBot="1" x14ac:dyDescent="0.3">
      <c r="A7" s="114" t="s">
        <v>627</v>
      </c>
      <c r="I7" s="114" t="s">
        <v>626</v>
      </c>
    </row>
    <row r="8" spans="1:11" ht="13.8" thickBot="1" x14ac:dyDescent="0.3">
      <c r="A8" s="119" t="s">
        <v>622</v>
      </c>
      <c r="B8" s="119" t="s">
        <v>621</v>
      </c>
      <c r="C8" s="119" t="s">
        <v>620</v>
      </c>
      <c r="I8" s="119" t="s">
        <v>622</v>
      </c>
      <c r="J8" s="119" t="s">
        <v>621</v>
      </c>
      <c r="K8" s="119" t="s">
        <v>620</v>
      </c>
    </row>
    <row r="9" spans="1:11" ht="13.8" thickBot="1" x14ac:dyDescent="0.3">
      <c r="A9" s="120">
        <v>1</v>
      </c>
      <c r="B9" s="121">
        <v>45</v>
      </c>
      <c r="C9" s="121">
        <v>680</v>
      </c>
      <c r="I9" s="120">
        <v>1</v>
      </c>
      <c r="J9" s="121">
        <v>45</v>
      </c>
      <c r="K9" s="121">
        <v>680</v>
      </c>
    </row>
    <row r="10" spans="1:11" ht="13.8" thickBot="1" x14ac:dyDescent="0.3">
      <c r="A10" s="120">
        <v>2</v>
      </c>
      <c r="B10" s="121">
        <v>48</v>
      </c>
      <c r="C10" s="121">
        <v>670</v>
      </c>
      <c r="I10" s="120">
        <v>2</v>
      </c>
      <c r="J10" s="121">
        <v>48</v>
      </c>
      <c r="K10" s="121">
        <v>670</v>
      </c>
    </row>
    <row r="11" spans="1:11" ht="13.8" thickBot="1" x14ac:dyDescent="0.3">
      <c r="A11" s="120">
        <v>3</v>
      </c>
      <c r="B11" s="121">
        <v>43</v>
      </c>
      <c r="C11" s="121">
        <v>674</v>
      </c>
      <c r="I11" s="120">
        <v>3</v>
      </c>
      <c r="J11" s="121">
        <v>43</v>
      </c>
      <c r="K11" s="121">
        <v>674</v>
      </c>
    </row>
    <row r="12" spans="1:11" ht="13.8" thickBot="1" x14ac:dyDescent="0.3">
      <c r="A12" s="120">
        <v>4</v>
      </c>
      <c r="B12" s="121">
        <v>44</v>
      </c>
      <c r="C12" s="121">
        <v>780</v>
      </c>
      <c r="I12" s="120">
        <v>4</v>
      </c>
      <c r="J12" s="121">
        <v>44</v>
      </c>
      <c r="K12" s="121">
        <v>669</v>
      </c>
    </row>
    <row r="13" spans="1:11" ht="13.8" thickBot="1" x14ac:dyDescent="0.3">
      <c r="A13" s="120">
        <v>5</v>
      </c>
      <c r="B13" s="121">
        <v>47</v>
      </c>
      <c r="C13" s="121">
        <v>650</v>
      </c>
      <c r="I13" s="120">
        <v>5</v>
      </c>
      <c r="J13" s="121">
        <v>47</v>
      </c>
      <c r="K13" s="121">
        <v>673</v>
      </c>
    </row>
    <row r="14" spans="1:11" ht="13.8" thickBot="1" x14ac:dyDescent="0.3">
      <c r="A14" s="120">
        <v>6</v>
      </c>
      <c r="B14" s="121">
        <v>42</v>
      </c>
      <c r="C14" s="121">
        <v>750</v>
      </c>
      <c r="I14" s="120">
        <v>6</v>
      </c>
      <c r="J14" s="121">
        <v>50</v>
      </c>
      <c r="K14" s="121">
        <v>681</v>
      </c>
    </row>
    <row r="15" spans="1:11" ht="13.8" thickBot="1" x14ac:dyDescent="0.3">
      <c r="A15" s="120">
        <v>7</v>
      </c>
      <c r="B15" s="121">
        <v>42</v>
      </c>
      <c r="C15" s="121">
        <v>450</v>
      </c>
      <c r="E15" s="114" t="s">
        <v>625</v>
      </c>
      <c r="I15" s="120">
        <v>7</v>
      </c>
      <c r="J15" s="121">
        <v>50</v>
      </c>
      <c r="K15" s="121">
        <v>683</v>
      </c>
    </row>
    <row r="16" spans="1:11" ht="13.8" thickBot="1" x14ac:dyDescent="0.3">
      <c r="A16" s="120">
        <v>8</v>
      </c>
      <c r="B16" s="121">
        <v>44</v>
      </c>
      <c r="C16" s="121">
        <v>650</v>
      </c>
      <c r="E16" s="119" t="s">
        <v>622</v>
      </c>
      <c r="F16" s="119" t="s">
        <v>621</v>
      </c>
      <c r="G16" s="119" t="s">
        <v>620</v>
      </c>
      <c r="I16" s="120">
        <v>8</v>
      </c>
      <c r="J16" s="121">
        <v>44</v>
      </c>
      <c r="K16" s="121">
        <v>689</v>
      </c>
    </row>
    <row r="17" spans="1:11" ht="13.8" thickBot="1" x14ac:dyDescent="0.3">
      <c r="A17" s="122" t="s">
        <v>619</v>
      </c>
      <c r="B17" s="123">
        <f>SUM(B9:B16)/COUNT(B9:B16)</f>
        <v>44.375</v>
      </c>
      <c r="C17" s="123">
        <f>SUM(C9:C16)/COUNT(C9:C16)</f>
        <v>663</v>
      </c>
      <c r="E17" s="120">
        <v>1</v>
      </c>
      <c r="F17" s="121">
        <v>45</v>
      </c>
      <c r="G17" s="121">
        <v>680</v>
      </c>
      <c r="I17" s="122" t="s">
        <v>619</v>
      </c>
      <c r="J17" s="123">
        <f>SUM(J9:J16)/COUNT(J9:J16)</f>
        <v>46.375</v>
      </c>
      <c r="K17" s="123">
        <f>SUM(K9:K16)/COUNT(K9:K16)</f>
        <v>677.375</v>
      </c>
    </row>
    <row r="18" spans="1:11" ht="13.8" thickBot="1" x14ac:dyDescent="0.3">
      <c r="A18" s="124"/>
      <c r="B18" s="125" t="s">
        <v>618</v>
      </c>
      <c r="C18" s="126" t="str">
        <f>ROUND(C17/B17,2)&amp;":"&amp;"1"</f>
        <v>14.94:1</v>
      </c>
      <c r="E18" s="120">
        <v>2</v>
      </c>
      <c r="F18" s="121">
        <v>48</v>
      </c>
      <c r="G18" s="121">
        <v>670</v>
      </c>
      <c r="I18" s="124"/>
      <c r="J18" s="125" t="s">
        <v>618</v>
      </c>
      <c r="K18" s="126" t="str">
        <f>ROUND(K17/J17,2)&amp;":"&amp;"1"</f>
        <v>14.61:1</v>
      </c>
    </row>
    <row r="19" spans="1:11" ht="13.8" thickBot="1" x14ac:dyDescent="0.3">
      <c r="A19" s="124"/>
      <c r="C19" s="125" t="str">
        <f>IF(C17/B17&gt;=$D$3,"Conforms",IF(C17/B17&gt;=$D$3*0.9,"Partially Conforms","Fails to Conform"))</f>
        <v>Partially Conforms</v>
      </c>
      <c r="E19" s="120">
        <v>3</v>
      </c>
      <c r="F19" s="121">
        <v>43</v>
      </c>
      <c r="G19" s="121">
        <v>674</v>
      </c>
      <c r="I19" s="124"/>
      <c r="K19" s="125" t="str">
        <f>IF(K17/J17&gt;=$D$3,"Conforms",IF(K17/J17&gt;=$D$3*0.9,"Partially Conforms","Fails to Conform"))</f>
        <v>Partially Conforms</v>
      </c>
    </row>
    <row r="20" spans="1:11" ht="13.8" thickBot="1" x14ac:dyDescent="0.3">
      <c r="A20" s="124"/>
      <c r="B20" s="124"/>
      <c r="C20" s="124"/>
      <c r="E20" s="120">
        <v>4</v>
      </c>
      <c r="F20" s="121">
        <v>44</v>
      </c>
      <c r="G20" s="121">
        <v>669</v>
      </c>
    </row>
    <row r="21" spans="1:11" ht="13.8" thickBot="1" x14ac:dyDescent="0.3">
      <c r="A21" s="124"/>
      <c r="B21" s="124"/>
      <c r="C21" s="124"/>
      <c r="E21" s="120">
        <v>5</v>
      </c>
      <c r="F21" s="121">
        <v>47</v>
      </c>
      <c r="G21" s="121">
        <v>673</v>
      </c>
    </row>
    <row r="22" spans="1:11" ht="13.8" thickBot="1" x14ac:dyDescent="0.3">
      <c r="A22" s="114" t="s">
        <v>624</v>
      </c>
      <c r="E22" s="120">
        <v>6</v>
      </c>
      <c r="F22" s="121">
        <v>50</v>
      </c>
      <c r="G22" s="121">
        <v>681</v>
      </c>
      <c r="I22" s="114" t="s">
        <v>623</v>
      </c>
    </row>
    <row r="23" spans="1:11" ht="13.8" thickBot="1" x14ac:dyDescent="0.3">
      <c r="A23" s="119" t="s">
        <v>622</v>
      </c>
      <c r="B23" s="119" t="s">
        <v>621</v>
      </c>
      <c r="C23" s="119" t="s">
        <v>620</v>
      </c>
      <c r="E23" s="120">
        <v>7</v>
      </c>
      <c r="F23" s="121">
        <v>42</v>
      </c>
      <c r="G23" s="121">
        <v>683</v>
      </c>
      <c r="I23" s="119" t="s">
        <v>622</v>
      </c>
      <c r="J23" s="119" t="s">
        <v>621</v>
      </c>
      <c r="K23" s="119" t="s">
        <v>620</v>
      </c>
    </row>
    <row r="24" spans="1:11" ht="13.8" thickBot="1" x14ac:dyDescent="0.3">
      <c r="A24" s="120">
        <v>1</v>
      </c>
      <c r="B24" s="121">
        <v>45</v>
      </c>
      <c r="C24" s="121">
        <v>680</v>
      </c>
      <c r="E24" s="120">
        <v>8</v>
      </c>
      <c r="F24" s="121">
        <v>50</v>
      </c>
      <c r="G24" s="121">
        <v>689</v>
      </c>
      <c r="I24" s="120">
        <v>1</v>
      </c>
      <c r="J24" s="121">
        <v>45</v>
      </c>
      <c r="K24" s="121">
        <v>680</v>
      </c>
    </row>
    <row r="25" spans="1:11" ht="13.8" thickBot="1" x14ac:dyDescent="0.3">
      <c r="A25" s="120">
        <v>2</v>
      </c>
      <c r="B25" s="121">
        <v>48</v>
      </c>
      <c r="C25" s="121">
        <v>670</v>
      </c>
      <c r="E25" s="122" t="s">
        <v>619</v>
      </c>
      <c r="F25" s="123">
        <f>SUM(F17:F24)/COUNT(F17:F24)</f>
        <v>46.125</v>
      </c>
      <c r="G25" s="123">
        <f>SUM(G17:G24)/COUNT(G17:G24)</f>
        <v>677.375</v>
      </c>
      <c r="I25" s="120">
        <v>2</v>
      </c>
      <c r="J25" s="121">
        <v>48</v>
      </c>
      <c r="K25" s="121">
        <v>670</v>
      </c>
    </row>
    <row r="26" spans="1:11" ht="13.8" thickBot="1" x14ac:dyDescent="0.3">
      <c r="A26" s="120">
        <v>3</v>
      </c>
      <c r="B26" s="121">
        <v>43</v>
      </c>
      <c r="C26" s="121">
        <v>674</v>
      </c>
      <c r="E26" s="124"/>
      <c r="F26" s="125" t="s">
        <v>618</v>
      </c>
      <c r="G26" s="126" t="str">
        <f>ROUND(G25/F25,2)&amp;":"&amp;"1"</f>
        <v>14.69:1</v>
      </c>
      <c r="I26" s="120">
        <v>3</v>
      </c>
      <c r="J26" s="121">
        <v>43</v>
      </c>
      <c r="K26" s="121">
        <v>674</v>
      </c>
    </row>
    <row r="27" spans="1:11" ht="13.8" thickBot="1" x14ac:dyDescent="0.3">
      <c r="A27" s="120">
        <v>4</v>
      </c>
      <c r="B27" s="121">
        <v>44</v>
      </c>
      <c r="C27" s="121">
        <v>669</v>
      </c>
      <c r="E27" s="124"/>
      <c r="G27" s="125" t="str">
        <f>IF(G25/F25&gt;=$D$3,"Conforms",IF(G25/F25&gt;=$D$3*0.9,"Partially Conforms","Fails to Conform"))</f>
        <v>Partially Conforms</v>
      </c>
      <c r="I27" s="120">
        <v>4</v>
      </c>
      <c r="J27" s="121">
        <v>44</v>
      </c>
      <c r="K27" s="121">
        <v>669</v>
      </c>
    </row>
    <row r="28" spans="1:11" ht="13.8" thickBot="1" x14ac:dyDescent="0.3">
      <c r="A28" s="120">
        <v>5</v>
      </c>
      <c r="B28" s="121">
        <v>47</v>
      </c>
      <c r="C28" s="121">
        <v>673</v>
      </c>
      <c r="I28" s="120">
        <v>5</v>
      </c>
      <c r="J28" s="121">
        <v>47</v>
      </c>
      <c r="K28" s="121">
        <v>673</v>
      </c>
    </row>
    <row r="29" spans="1:11" ht="13.8" thickBot="1" x14ac:dyDescent="0.3">
      <c r="A29" s="120">
        <v>6</v>
      </c>
      <c r="B29" s="121">
        <v>40</v>
      </c>
      <c r="C29" s="121">
        <v>681</v>
      </c>
      <c r="I29" s="120">
        <v>6</v>
      </c>
      <c r="J29" s="121">
        <v>50</v>
      </c>
      <c r="K29" s="121">
        <v>681</v>
      </c>
    </row>
    <row r="30" spans="1:11" ht="13.8" thickBot="1" x14ac:dyDescent="0.3">
      <c r="A30" s="120">
        <v>7</v>
      </c>
      <c r="B30" s="121">
        <v>40</v>
      </c>
      <c r="C30" s="121">
        <v>683</v>
      </c>
      <c r="I30" s="120">
        <v>7</v>
      </c>
      <c r="J30" s="121">
        <v>50</v>
      </c>
      <c r="K30" s="121">
        <v>683</v>
      </c>
    </row>
    <row r="31" spans="1:11" ht="13.8" thickBot="1" x14ac:dyDescent="0.3">
      <c r="A31" s="120">
        <v>8</v>
      </c>
      <c r="B31" s="121">
        <v>44</v>
      </c>
      <c r="C31" s="121">
        <v>689</v>
      </c>
      <c r="I31" s="120">
        <v>8</v>
      </c>
      <c r="J31" s="121">
        <v>44</v>
      </c>
      <c r="K31" s="121">
        <v>689</v>
      </c>
    </row>
    <row r="32" spans="1:11" ht="13.8" thickBot="1" x14ac:dyDescent="0.3">
      <c r="A32" s="122" t="s">
        <v>619</v>
      </c>
      <c r="B32" s="123">
        <f>SUM(B24:B31)/COUNT(B24:B31)</f>
        <v>43.875</v>
      </c>
      <c r="C32" s="123">
        <f>SUM(C24:C31)/COUNT(C24:C31)</f>
        <v>677.375</v>
      </c>
      <c r="I32" s="122" t="s">
        <v>619</v>
      </c>
      <c r="J32" s="123">
        <f>SUM(J24:J31)/COUNT(J24:J31)</f>
        <v>46.375</v>
      </c>
      <c r="K32" s="123">
        <f>SUM(K24:K31)/COUNT(K24:K31)</f>
        <v>677.375</v>
      </c>
    </row>
    <row r="33" spans="1:11" x14ac:dyDescent="0.25">
      <c r="A33" s="124"/>
      <c r="B33" s="125" t="s">
        <v>618</v>
      </c>
      <c r="C33" s="126" t="str">
        <f>ROUND(C32/B32,2)&amp;":"&amp;"1"</f>
        <v>15.44:1</v>
      </c>
      <c r="I33" s="124"/>
      <c r="J33" s="125" t="s">
        <v>618</v>
      </c>
      <c r="K33" s="126" t="str">
        <f>ROUND(K32/J32,2)&amp;":"&amp;"1"</f>
        <v>14.61:1</v>
      </c>
    </row>
    <row r="34" spans="1:11" x14ac:dyDescent="0.25">
      <c r="A34" s="124"/>
      <c r="C34" s="125" t="str">
        <f>IF(C32/B32&gt;=$D$3,"Conforms",IF(C32/B32&gt;=$D$3*0.9,"Partially Conforms","Fails to Conform"))</f>
        <v>Conforms</v>
      </c>
      <c r="I34" s="124"/>
      <c r="K34" s="125" t="str">
        <f>IF(K32/J32&gt;=$D$3,"Conforms",IF(K32/J32&gt;=$D$3*0.9,"Partially Conforms","Fails to Conform"))</f>
        <v>Partially Conforms</v>
      </c>
    </row>
    <row r="36" spans="1:11" x14ac:dyDescent="0.25">
      <c r="A36" s="114" t="s">
        <v>636</v>
      </c>
    </row>
    <row r="37" spans="1:11" x14ac:dyDescent="0.25">
      <c r="A37" s="127" t="s">
        <v>632</v>
      </c>
    </row>
    <row r="38" spans="1:11" x14ac:dyDescent="0.25">
      <c r="A38" s="127" t="s">
        <v>633</v>
      </c>
      <c r="B38" s="127"/>
      <c r="E38" s="124"/>
      <c r="G38" s="128"/>
    </row>
    <row r="39" spans="1:11" x14ac:dyDescent="0.25">
      <c r="A39" s="127" t="s">
        <v>634</v>
      </c>
      <c r="E39" s="124"/>
      <c r="G39" s="128"/>
    </row>
    <row r="40" spans="1:11" x14ac:dyDescent="0.25">
      <c r="A40" s="127" t="s">
        <v>635</v>
      </c>
      <c r="E40" s="124"/>
      <c r="G40" s="128"/>
    </row>
    <row r="41" spans="1:11" x14ac:dyDescent="0.25">
      <c r="E41" s="124"/>
      <c r="G41" s="128"/>
    </row>
  </sheetData>
  <sheetProtection sheet="1" objects="1" scenarios="1"/>
  <protectedRanges>
    <protectedRange sqref="D3 B9:C16 B24:C31 F17:G24 J9:K16 J24:K31" name="Range1"/>
  </protectedRange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E5" sqref="E5"/>
    </sheetView>
  </sheetViews>
  <sheetFormatPr defaultRowHeight="13.2" x14ac:dyDescent="0.25"/>
  <cols>
    <col min="1" max="1" width="10.33203125" customWidth="1"/>
  </cols>
  <sheetData>
    <row r="1" spans="1:5" ht="17.399999999999999" x14ac:dyDescent="0.3">
      <c r="A1" s="132" t="s">
        <v>46</v>
      </c>
      <c r="B1" s="132"/>
      <c r="C1" s="132"/>
      <c r="D1" s="132"/>
      <c r="E1" s="132"/>
    </row>
    <row r="3" spans="1:5" x14ac:dyDescent="0.25">
      <c r="B3" t="s">
        <v>41</v>
      </c>
      <c r="E3" t="s">
        <v>44</v>
      </c>
    </row>
    <row r="4" spans="1:5" x14ac:dyDescent="0.25">
      <c r="A4" s="1" t="s">
        <v>42</v>
      </c>
      <c r="B4" s="3">
        <v>0</v>
      </c>
      <c r="D4" s="1" t="s">
        <v>103</v>
      </c>
      <c r="E4">
        <f>IF(B5=0,0,B5/B4)</f>
        <v>0</v>
      </c>
    </row>
    <row r="5" spans="1:5" x14ac:dyDescent="0.25">
      <c r="A5" s="1" t="s">
        <v>45</v>
      </c>
      <c r="B5" s="3">
        <v>0</v>
      </c>
      <c r="D5" s="1" t="s">
        <v>43</v>
      </c>
      <c r="E5">
        <f>IF(B5=0,0,(B5^2)/B4)</f>
        <v>0</v>
      </c>
    </row>
    <row r="6" spans="1:5" x14ac:dyDescent="0.25">
      <c r="A6" s="1"/>
      <c r="D6" s="1"/>
    </row>
    <row r="7" spans="1:5" x14ac:dyDescent="0.25">
      <c r="A7" s="1" t="s">
        <v>42</v>
      </c>
      <c r="B7" s="3">
        <v>0</v>
      </c>
      <c r="D7" s="1" t="s">
        <v>45</v>
      </c>
      <c r="E7">
        <f>B7*B8</f>
        <v>0</v>
      </c>
    </row>
    <row r="8" spans="1:5" x14ac:dyDescent="0.25">
      <c r="A8" s="1" t="s">
        <v>103</v>
      </c>
      <c r="B8" s="3">
        <v>0</v>
      </c>
      <c r="D8" s="1" t="s">
        <v>43</v>
      </c>
      <c r="E8">
        <f>(B8^2)*B7</f>
        <v>0</v>
      </c>
    </row>
    <row r="9" spans="1:5" x14ac:dyDescent="0.25">
      <c r="A9" s="1"/>
      <c r="D9" s="1"/>
    </row>
    <row r="10" spans="1:5" x14ac:dyDescent="0.25">
      <c r="A10" s="1" t="s">
        <v>42</v>
      </c>
      <c r="B10" s="3">
        <v>0</v>
      </c>
      <c r="D10" s="1" t="s">
        <v>103</v>
      </c>
      <c r="E10">
        <f>IF(B11=0,0,SQRT(B11/B10))</f>
        <v>0</v>
      </c>
    </row>
    <row r="11" spans="1:5" x14ac:dyDescent="0.25">
      <c r="A11" s="1" t="s">
        <v>43</v>
      </c>
      <c r="B11" s="3">
        <v>0</v>
      </c>
      <c r="D11" s="1" t="s">
        <v>45</v>
      </c>
      <c r="E11">
        <f>SQRT(B11*B10)</f>
        <v>0</v>
      </c>
    </row>
    <row r="12" spans="1:5" x14ac:dyDescent="0.25">
      <c r="A12" s="1"/>
    </row>
    <row r="13" spans="1:5" x14ac:dyDescent="0.25">
      <c r="A13" s="1" t="s">
        <v>45</v>
      </c>
      <c r="B13" s="3">
        <v>0</v>
      </c>
      <c r="D13" s="1" t="s">
        <v>42</v>
      </c>
      <c r="E13">
        <f>IF(B13=0,0,B13/B14)</f>
        <v>0</v>
      </c>
    </row>
    <row r="14" spans="1:5" x14ac:dyDescent="0.25">
      <c r="A14" s="1" t="s">
        <v>103</v>
      </c>
      <c r="B14" s="3">
        <v>0</v>
      </c>
      <c r="D14" s="1" t="s">
        <v>43</v>
      </c>
      <c r="E14">
        <f>B13*B14</f>
        <v>0</v>
      </c>
    </row>
    <row r="15" spans="1:5" x14ac:dyDescent="0.25">
      <c r="A15" s="1"/>
      <c r="D15" s="1"/>
    </row>
    <row r="16" spans="1:5" x14ac:dyDescent="0.25">
      <c r="A16" s="1" t="s">
        <v>45</v>
      </c>
      <c r="B16" s="3">
        <v>0</v>
      </c>
      <c r="D16" s="1" t="s">
        <v>42</v>
      </c>
      <c r="E16">
        <f>IF(B16=0,0,(B16^2)/B17)</f>
        <v>0</v>
      </c>
    </row>
    <row r="17" spans="1:5" x14ac:dyDescent="0.25">
      <c r="A17" s="1" t="s">
        <v>43</v>
      </c>
      <c r="B17" s="3">
        <v>0</v>
      </c>
      <c r="D17" s="1" t="s">
        <v>103</v>
      </c>
      <c r="E17">
        <f>B16*B17</f>
        <v>0</v>
      </c>
    </row>
    <row r="18" spans="1:5" x14ac:dyDescent="0.25">
      <c r="A18" s="1"/>
      <c r="D18" s="1"/>
    </row>
    <row r="19" spans="1:5" x14ac:dyDescent="0.25">
      <c r="A19" s="1" t="s">
        <v>103</v>
      </c>
      <c r="B19" s="3">
        <v>0</v>
      </c>
      <c r="D19" s="1" t="s">
        <v>42</v>
      </c>
      <c r="E19">
        <f>IF(B20=0,0,B20/(B19^2))</f>
        <v>0</v>
      </c>
    </row>
    <row r="20" spans="1:5" x14ac:dyDescent="0.25">
      <c r="A20" s="1" t="s">
        <v>43</v>
      </c>
      <c r="B20" s="3">
        <v>0</v>
      </c>
      <c r="D20" s="1" t="s">
        <v>45</v>
      </c>
      <c r="E20">
        <f>IF(B20=0,0,B20/B19)</f>
        <v>0</v>
      </c>
    </row>
  </sheetData>
  <sheetProtection sheet="1" objects="1" scenarios="1"/>
  <protectedRanges>
    <protectedRange sqref="B19:B20" name="Range6"/>
    <protectedRange sqref="B16:B17" name="Range5"/>
    <protectedRange sqref="B13:B14" name="Range4"/>
    <protectedRange sqref="B10:B11" name="Range3"/>
    <protectedRange sqref="B7:B8" name="Range2"/>
    <protectedRange sqref="B4:B5" name="Range1"/>
  </protectedRanges>
  <mergeCells count="1">
    <mergeCell ref="A1:E1"/>
  </mergeCells>
  <phoneticPr fontId="3" type="noConversion"/>
  <pageMargins left="0.75" right="0.75" top="1" bottom="1" header="0.5" footer="0.5"/>
  <pageSetup orientation="portrait" r:id="rId1"/>
  <headerFooter alignWithMargins="0">
    <oddFooter>&amp;C©2009, InfoComm International®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workbookViewId="0">
      <selection activeCell="D3" sqref="D3"/>
    </sheetView>
  </sheetViews>
  <sheetFormatPr defaultRowHeight="13.2" x14ac:dyDescent="0.25"/>
  <sheetData>
    <row r="1" spans="1:7" ht="17.399999999999999" x14ac:dyDescent="0.3">
      <c r="A1" s="132" t="s">
        <v>234</v>
      </c>
      <c r="B1" s="132"/>
      <c r="C1" s="132"/>
      <c r="D1" s="132"/>
      <c r="E1" s="132"/>
      <c r="F1" s="132"/>
      <c r="G1" s="132"/>
    </row>
    <row r="3" spans="1:7" x14ac:dyDescent="0.25">
      <c r="C3" s="1" t="s">
        <v>242</v>
      </c>
      <c r="D3" s="3">
        <v>120</v>
      </c>
      <c r="E3" t="s">
        <v>615</v>
      </c>
    </row>
    <row r="4" spans="1:7" x14ac:dyDescent="0.25">
      <c r="C4" s="1" t="s">
        <v>243</v>
      </c>
      <c r="D4" s="3">
        <v>48</v>
      </c>
      <c r="E4" t="s">
        <v>235</v>
      </c>
    </row>
    <row r="5" spans="1:7" x14ac:dyDescent="0.25">
      <c r="C5" s="1" t="s">
        <v>244</v>
      </c>
      <c r="D5" s="3">
        <v>90</v>
      </c>
      <c r="E5" t="s">
        <v>51</v>
      </c>
    </row>
    <row r="6" spans="1:7" x14ac:dyDescent="0.25">
      <c r="C6" s="1" t="s">
        <v>245</v>
      </c>
      <c r="D6" s="3">
        <v>88</v>
      </c>
      <c r="E6" t="s">
        <v>52</v>
      </c>
    </row>
    <row r="7" spans="1:7" x14ac:dyDescent="0.25">
      <c r="C7" s="1" t="s">
        <v>246</v>
      </c>
      <c r="D7" s="3">
        <v>1</v>
      </c>
      <c r="E7" t="s">
        <v>53</v>
      </c>
    </row>
    <row r="8" spans="1:7" x14ac:dyDescent="0.25">
      <c r="C8" s="1"/>
    </row>
    <row r="9" spans="1:7" x14ac:dyDescent="0.25">
      <c r="C9" s="1" t="s">
        <v>240</v>
      </c>
      <c r="D9" s="10">
        <f>2*((D3-D4)*(TAN(D5/2*PI()/180)))</f>
        <v>143.99999999999997</v>
      </c>
      <c r="E9" t="s">
        <v>54</v>
      </c>
    </row>
    <row r="10" spans="1:7" x14ac:dyDescent="0.25">
      <c r="C10" s="1" t="s">
        <v>240</v>
      </c>
      <c r="D10" s="10">
        <f>D9/12</f>
        <v>11.999999999999998</v>
      </c>
      <c r="E10" t="s">
        <v>127</v>
      </c>
    </row>
    <row r="11" spans="1:7" x14ac:dyDescent="0.25">
      <c r="C11" s="1" t="s">
        <v>240</v>
      </c>
      <c r="D11" s="10">
        <f>D9/39.94</f>
        <v>3.6054081121682517</v>
      </c>
      <c r="E11" t="s">
        <v>55</v>
      </c>
    </row>
    <row r="12" spans="1:7" x14ac:dyDescent="0.25">
      <c r="C12" s="11" t="s">
        <v>56</v>
      </c>
      <c r="D12" s="12">
        <f>D6-(20*LOG((D3-D4)/(39.37)))</f>
        <v>82.756658367179227</v>
      </c>
      <c r="E12" t="s">
        <v>57</v>
      </c>
    </row>
    <row r="13" spans="1:7" x14ac:dyDescent="0.25">
      <c r="C13" s="1" t="s">
        <v>58</v>
      </c>
      <c r="D13" s="12">
        <f>D6-(20*LOG((SQRT(((D9/2)^2)+((D3-D4)^2)))/(39.37)))</f>
        <v>79.746358410539415</v>
      </c>
      <c r="E13" t="s">
        <v>57</v>
      </c>
    </row>
    <row r="15" spans="1:7" x14ac:dyDescent="0.25">
      <c r="C15" s="1" t="s">
        <v>241</v>
      </c>
      <c r="D15" s="3">
        <v>72</v>
      </c>
      <c r="E15" t="s">
        <v>59</v>
      </c>
    </row>
    <row r="16" spans="1:7" x14ac:dyDescent="0.25">
      <c r="C16" s="1" t="s">
        <v>613</v>
      </c>
      <c r="D16" s="3">
        <v>10</v>
      </c>
      <c r="E16" t="s">
        <v>614</v>
      </c>
    </row>
    <row r="17" spans="3:6" x14ac:dyDescent="0.25">
      <c r="C17" s="1" t="s">
        <v>60</v>
      </c>
      <c r="D17" s="10">
        <f>10^(((D16+D15-D6)+(20*LOG((D3-D4)/39.37)))/10)</f>
        <v>0.84010614866040456</v>
      </c>
      <c r="E17" t="s">
        <v>616</v>
      </c>
    </row>
    <row r="19" spans="3:6" x14ac:dyDescent="0.25">
      <c r="C19" s="1" t="s">
        <v>575</v>
      </c>
      <c r="D19" s="56">
        <f>D9</f>
        <v>143.99999999999997</v>
      </c>
      <c r="E19" t="s">
        <v>576</v>
      </c>
    </row>
    <row r="20" spans="3:6" x14ac:dyDescent="0.25">
      <c r="C20" s="1"/>
      <c r="D20" s="56">
        <f>( D9/2)*SQRT(2)</f>
        <v>101.82337649086283</v>
      </c>
      <c r="E20" t="s">
        <v>577</v>
      </c>
    </row>
    <row r="21" spans="3:6" x14ac:dyDescent="0.25">
      <c r="D21" s="56">
        <f>D9/2</f>
        <v>71.999999999999986</v>
      </c>
      <c r="E21" t="s">
        <v>578</v>
      </c>
    </row>
    <row r="24" spans="3:6" x14ac:dyDescent="0.25">
      <c r="C24" s="1" t="s">
        <v>584</v>
      </c>
      <c r="D24" s="87">
        <v>450</v>
      </c>
      <c r="E24" t="s">
        <v>598</v>
      </c>
    </row>
    <row r="25" spans="3:6" x14ac:dyDescent="0.25">
      <c r="C25" s="1" t="s">
        <v>585</v>
      </c>
      <c r="D25" s="87">
        <v>70.7</v>
      </c>
      <c r="E25" t="s">
        <v>129</v>
      </c>
    </row>
    <row r="26" spans="3:6" x14ac:dyDescent="0.25">
      <c r="C26" s="1" t="s">
        <v>586</v>
      </c>
      <c r="D26" s="12">
        <f>D24/D25</f>
        <v>6.3649222065063649</v>
      </c>
      <c r="E26" t="s">
        <v>599</v>
      </c>
    </row>
    <row r="27" spans="3:6" x14ac:dyDescent="0.25">
      <c r="C27" s="1" t="s">
        <v>587</v>
      </c>
      <c r="D27" s="12">
        <f>(D25^2)/D24</f>
        <v>11.107755555555556</v>
      </c>
      <c r="E27" t="s">
        <v>600</v>
      </c>
    </row>
    <row r="28" spans="3:6" x14ac:dyDescent="0.25">
      <c r="C28" s="1" t="s">
        <v>610</v>
      </c>
      <c r="D28" s="87">
        <v>89</v>
      </c>
      <c r="E28" t="s">
        <v>601</v>
      </c>
    </row>
    <row r="29" spans="3:6" x14ac:dyDescent="0.25">
      <c r="C29" s="1" t="s">
        <v>588</v>
      </c>
      <c r="D29" s="87">
        <v>50</v>
      </c>
      <c r="E29" t="s">
        <v>602</v>
      </c>
    </row>
    <row r="30" spans="3:6" x14ac:dyDescent="0.25">
      <c r="C30" s="1" t="s">
        <v>589</v>
      </c>
      <c r="D30" s="87">
        <v>7.5</v>
      </c>
      <c r="E30" t="s">
        <v>598</v>
      </c>
    </row>
    <row r="31" spans="3:6" x14ac:dyDescent="0.25">
      <c r="C31" s="1" t="s">
        <v>590</v>
      </c>
      <c r="D31" s="87">
        <v>1.75</v>
      </c>
      <c r="E31" t="s">
        <v>603</v>
      </c>
      <c r="F31" t="s">
        <v>611</v>
      </c>
    </row>
    <row r="32" spans="3:6" x14ac:dyDescent="0.25">
      <c r="C32" s="1"/>
    </row>
    <row r="33" spans="3:5" x14ac:dyDescent="0.25">
      <c r="C33" s="1" t="s">
        <v>591</v>
      </c>
      <c r="D33" s="12">
        <f>D30*(10^(-ABS(D31)/10))</f>
        <v>5.0125793817646089</v>
      </c>
      <c r="E33" t="s">
        <v>617</v>
      </c>
    </row>
    <row r="34" spans="3:5" x14ac:dyDescent="0.25">
      <c r="C34" s="1" t="s">
        <v>592</v>
      </c>
      <c r="D34" s="56">
        <f>(D25^2)/D30</f>
        <v>666.46533333333343</v>
      </c>
      <c r="E34" t="s">
        <v>604</v>
      </c>
    </row>
    <row r="35" spans="3:5" x14ac:dyDescent="0.25">
      <c r="C35" s="1" t="s">
        <v>593</v>
      </c>
      <c r="D35" s="56">
        <f>(D25^2)/(D30*D29)</f>
        <v>13.329306666666669</v>
      </c>
      <c r="E35" t="s">
        <v>605</v>
      </c>
    </row>
    <row r="36" spans="3:5" x14ac:dyDescent="0.25">
      <c r="C36" s="1" t="s">
        <v>594</v>
      </c>
      <c r="D36" s="45">
        <f>D30/D25</f>
        <v>0.10608203677510608</v>
      </c>
      <c r="E36" t="s">
        <v>606</v>
      </c>
    </row>
    <row r="37" spans="3:5" x14ac:dyDescent="0.25">
      <c r="C37" s="1" t="s">
        <v>595</v>
      </c>
      <c r="D37" s="45">
        <f>IF((D29*D30)/D25&gt;D26,D26,(D29*D30)/D25)</f>
        <v>5.3041018387553036</v>
      </c>
      <c r="E37" t="s">
        <v>607</v>
      </c>
    </row>
    <row r="38" spans="3:5" x14ac:dyDescent="0.25">
      <c r="C38" s="1" t="s">
        <v>596</v>
      </c>
      <c r="D38" s="12">
        <f>10*LOG10(D33/1)+D28</f>
        <v>96.000612633917001</v>
      </c>
      <c r="E38" t="s">
        <v>608</v>
      </c>
    </row>
    <row r="39" spans="3:5" x14ac:dyDescent="0.25">
      <c r="C39" s="1" t="s">
        <v>597</v>
      </c>
      <c r="D39" s="12">
        <f>IF(D29*D30&lt;D24,(10*LOG10((D29*D33)/1))+D28,(10*LOG10(D24/1))+D28+(-ABS(D31)))</f>
        <v>112.99031267727719</v>
      </c>
      <c r="E39" t="s">
        <v>609</v>
      </c>
    </row>
    <row r="40" spans="3:5" x14ac:dyDescent="0.25">
      <c r="D40" s="12"/>
    </row>
    <row r="41" spans="3:5" ht="14.4" x14ac:dyDescent="0.3">
      <c r="D41" s="113" t="str">
        <f>IF(D26&gt;D37,"Good","Overload")</f>
        <v>Good</v>
      </c>
    </row>
  </sheetData>
  <sheetProtection sheet="1" objects="1" scenarios="1"/>
  <protectedRanges>
    <protectedRange sqref="D3:D7 D15:D16 D24:D25 D28:D31" name="Range1"/>
  </protectedRanges>
  <mergeCells count="1">
    <mergeCell ref="A1:G1"/>
  </mergeCells>
  <phoneticPr fontId="3" type="noConversion"/>
  <hyperlinks>
    <hyperlink ref="C12" r:id="rId1" display="SPL@ear@0 degrees"/>
  </hyperlinks>
  <pageMargins left="0.75" right="0.75" top="1" bottom="1" header="0.5" footer="0.5"/>
  <pageSetup orientation="portrait" r:id="rId2"/>
  <headerFooter alignWithMargins="0">
    <oddFooter>&amp;C©2009, InfoComm International®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6"/>
  <sheetViews>
    <sheetView workbookViewId="0">
      <selection activeCell="A3" sqref="A3"/>
    </sheetView>
  </sheetViews>
  <sheetFormatPr defaultRowHeight="13.2" x14ac:dyDescent="0.25"/>
  <cols>
    <col min="2" max="2" width="13.109375" customWidth="1"/>
    <col min="3" max="3" width="12.109375" customWidth="1"/>
    <col min="4" max="5" width="9.5546875" bestFit="1" customWidth="1"/>
    <col min="6" max="6" width="10.5546875" bestFit="1" customWidth="1"/>
  </cols>
  <sheetData>
    <row r="1" spans="1:7" ht="15" x14ac:dyDescent="0.25">
      <c r="A1" s="137" t="s">
        <v>47</v>
      </c>
      <c r="B1" s="137"/>
      <c r="C1" s="137"/>
      <c r="D1" s="137"/>
      <c r="E1" s="137"/>
      <c r="F1" s="137"/>
      <c r="G1" s="33"/>
    </row>
    <row r="3" spans="1:7" x14ac:dyDescent="0.25">
      <c r="A3" s="3">
        <v>50</v>
      </c>
      <c r="B3" s="129" t="s">
        <v>637</v>
      </c>
    </row>
    <row r="5" spans="1:7" ht="13.2" customHeight="1" x14ac:dyDescent="0.25">
      <c r="C5" s="5"/>
      <c r="D5" s="134" t="s">
        <v>274</v>
      </c>
      <c r="E5" s="135"/>
      <c r="F5" s="136"/>
    </row>
    <row r="6" spans="1:7" ht="26.4" customHeight="1" thickBot="1" x14ac:dyDescent="0.3">
      <c r="A6" s="6" t="s">
        <v>263</v>
      </c>
      <c r="B6" s="6" t="s">
        <v>264</v>
      </c>
      <c r="C6" s="6" t="s">
        <v>265</v>
      </c>
      <c r="D6" s="6" t="s">
        <v>48</v>
      </c>
      <c r="E6" s="6" t="s">
        <v>49</v>
      </c>
      <c r="F6" s="6" t="s">
        <v>50</v>
      </c>
    </row>
    <row r="7" spans="1:7" ht="13.8" thickBot="1" x14ac:dyDescent="0.3">
      <c r="A7" s="13">
        <v>6</v>
      </c>
      <c r="B7" s="13">
        <v>8</v>
      </c>
      <c r="C7" s="52">
        <f>A7*B7</f>
        <v>48</v>
      </c>
      <c r="D7" s="7">
        <f>25^2/SUM(C7:C18)</f>
        <v>13.020833333333334</v>
      </c>
      <c r="E7" s="8">
        <f>70.7^2/SUM(C7:C18)</f>
        <v>104.13520833333335</v>
      </c>
      <c r="F7" s="9">
        <f>100^2/SUM(C7:C18)</f>
        <v>208.33333333333334</v>
      </c>
    </row>
    <row r="8" spans="1:7" ht="13.8" thickBot="1" x14ac:dyDescent="0.3">
      <c r="A8" s="13"/>
      <c r="B8" s="13">
        <v>1</v>
      </c>
      <c r="C8" s="52">
        <f t="shared" ref="C8:C18" si="0">A8*B8</f>
        <v>0</v>
      </c>
    </row>
    <row r="9" spans="1:7" ht="13.8" thickBot="1" x14ac:dyDescent="0.3">
      <c r="A9" s="13"/>
      <c r="B9" s="13">
        <v>1</v>
      </c>
      <c r="C9" s="52">
        <f t="shared" si="0"/>
        <v>0</v>
      </c>
    </row>
    <row r="10" spans="1:7" ht="13.8" thickBot="1" x14ac:dyDescent="0.3">
      <c r="A10" s="13"/>
      <c r="B10" s="13">
        <v>1</v>
      </c>
      <c r="C10" s="52">
        <f t="shared" si="0"/>
        <v>0</v>
      </c>
      <c r="D10" s="50" t="s">
        <v>271</v>
      </c>
      <c r="E10" s="51"/>
      <c r="F10" s="51"/>
    </row>
    <row r="11" spans="1:7" ht="13.8" thickBot="1" x14ac:dyDescent="0.3">
      <c r="A11" s="13"/>
      <c r="B11" s="13">
        <v>1</v>
      </c>
      <c r="C11" s="52">
        <f t="shared" si="0"/>
        <v>0</v>
      </c>
      <c r="D11" s="7">
        <f>C19/((100-A3)/100)</f>
        <v>96</v>
      </c>
      <c r="E11" s="7">
        <f>C19/((100-A3)/100)</f>
        <v>96</v>
      </c>
      <c r="F11" s="7">
        <f>C19/((100-A3)/100)</f>
        <v>96</v>
      </c>
    </row>
    <row r="12" spans="1:7" ht="13.8" thickBot="1" x14ac:dyDescent="0.3">
      <c r="A12" s="13"/>
      <c r="B12" s="13">
        <v>1</v>
      </c>
      <c r="C12" s="52">
        <f t="shared" si="0"/>
        <v>0</v>
      </c>
    </row>
    <row r="13" spans="1:7" ht="13.8" thickBot="1" x14ac:dyDescent="0.3">
      <c r="A13" s="13"/>
      <c r="B13" s="13">
        <v>1</v>
      </c>
      <c r="C13" s="52">
        <f t="shared" si="0"/>
        <v>0</v>
      </c>
    </row>
    <row r="14" spans="1:7" ht="13.8" thickBot="1" x14ac:dyDescent="0.3">
      <c r="A14" s="13"/>
      <c r="B14" s="13">
        <v>1</v>
      </c>
      <c r="C14" s="52">
        <f t="shared" si="0"/>
        <v>0</v>
      </c>
      <c r="D14" s="50" t="s">
        <v>272</v>
      </c>
      <c r="E14" s="51"/>
      <c r="F14" s="51"/>
    </row>
    <row r="15" spans="1:7" ht="13.8" thickBot="1" x14ac:dyDescent="0.3">
      <c r="A15" s="13"/>
      <c r="B15" s="13">
        <v>1</v>
      </c>
      <c r="C15" s="52">
        <f t="shared" si="0"/>
        <v>0</v>
      </c>
      <c r="D15" s="7">
        <f>(25^2/(D7))/((100-A3)/100)</f>
        <v>96</v>
      </c>
      <c r="E15" s="7">
        <f>(70.7^2/(E7))/((100-A3)/100)</f>
        <v>96</v>
      </c>
      <c r="F15" s="7">
        <f>(100^2/(F7))/((100-A3)/100)</f>
        <v>96</v>
      </c>
    </row>
    <row r="16" spans="1:7" ht="13.8" thickBot="1" x14ac:dyDescent="0.3">
      <c r="A16" s="13"/>
      <c r="B16" s="13">
        <v>1</v>
      </c>
      <c r="C16" s="52">
        <f t="shared" si="0"/>
        <v>0</v>
      </c>
    </row>
    <row r="17" spans="1:4" ht="13.8" thickBot="1" x14ac:dyDescent="0.3">
      <c r="A17" s="13"/>
      <c r="B17" s="13">
        <v>1</v>
      </c>
      <c r="C17" s="52">
        <f t="shared" si="0"/>
        <v>0</v>
      </c>
    </row>
    <row r="18" spans="1:4" x14ac:dyDescent="0.25">
      <c r="A18" s="13"/>
      <c r="B18" s="13">
        <v>1</v>
      </c>
      <c r="C18" s="52">
        <f t="shared" si="0"/>
        <v>0</v>
      </c>
    </row>
    <row r="19" spans="1:4" x14ac:dyDescent="0.25">
      <c r="C19" s="49">
        <f>SUM(C5:C18)</f>
        <v>48</v>
      </c>
      <c r="D19" t="s">
        <v>266</v>
      </c>
    </row>
    <row r="20" spans="1:4" x14ac:dyDescent="0.25">
      <c r="C20" s="48"/>
    </row>
    <row r="21" spans="1:4" x14ac:dyDescent="0.25">
      <c r="C21" s="48"/>
    </row>
    <row r="22" spans="1:4" x14ac:dyDescent="0.25">
      <c r="A22" s="4" t="s">
        <v>267</v>
      </c>
      <c r="C22" s="48"/>
    </row>
    <row r="23" spans="1:4" x14ac:dyDescent="0.25">
      <c r="A23" s="3">
        <v>75</v>
      </c>
      <c r="B23" t="s">
        <v>268</v>
      </c>
      <c r="C23" s="48"/>
    </row>
    <row r="24" spans="1:4" x14ac:dyDescent="0.25">
      <c r="A24" s="3">
        <v>70</v>
      </c>
      <c r="B24" t="s">
        <v>269</v>
      </c>
      <c r="C24" s="48"/>
    </row>
    <row r="25" spans="1:4" x14ac:dyDescent="0.25">
      <c r="A25" s="12">
        <f>(A24^2)/(A23)</f>
        <v>65.333333333333329</v>
      </c>
      <c r="B25" t="s">
        <v>270</v>
      </c>
      <c r="C25" s="48"/>
    </row>
    <row r="26" spans="1:4" x14ac:dyDescent="0.25">
      <c r="A26" s="12">
        <f>A25/((100-A3)/100)</f>
        <v>130.66666666666666</v>
      </c>
      <c r="B26" t="s">
        <v>273</v>
      </c>
      <c r="C26" s="48"/>
    </row>
    <row r="27" spans="1:4" x14ac:dyDescent="0.25">
      <c r="C27" s="48"/>
    </row>
    <row r="28" spans="1:4" x14ac:dyDescent="0.25">
      <c r="C28" s="48"/>
    </row>
    <row r="29" spans="1:4" x14ac:dyDescent="0.25">
      <c r="C29" s="48"/>
    </row>
    <row r="30" spans="1:4" x14ac:dyDescent="0.25">
      <c r="C30" s="48"/>
    </row>
    <row r="31" spans="1:4" x14ac:dyDescent="0.25">
      <c r="A31" s="18" t="s">
        <v>322</v>
      </c>
      <c r="B31" s="22"/>
    </row>
    <row r="32" spans="1:4" x14ac:dyDescent="0.25">
      <c r="A32" s="19">
        <v>5</v>
      </c>
      <c r="B32" t="s">
        <v>320</v>
      </c>
    </row>
    <row r="33" spans="1:3" x14ac:dyDescent="0.25">
      <c r="A33" s="22">
        <f>10^((A32/1)/10)</f>
        <v>3.1622776601683795</v>
      </c>
      <c r="B33" t="s">
        <v>323</v>
      </c>
    </row>
    <row r="34" spans="1:3" x14ac:dyDescent="0.25">
      <c r="A34" s="10">
        <f>A33-1</f>
        <v>2.1622776601683795</v>
      </c>
      <c r="B34" t="s">
        <v>321</v>
      </c>
    </row>
    <row r="35" spans="1:3" x14ac:dyDescent="0.25">
      <c r="A35" s="58">
        <f>A33/1</f>
        <v>3.1622776601683795</v>
      </c>
      <c r="B35" t="s">
        <v>324</v>
      </c>
    </row>
    <row r="36" spans="1:3" x14ac:dyDescent="0.25">
      <c r="C36" s="48"/>
    </row>
    <row r="37" spans="1:3" x14ac:dyDescent="0.25">
      <c r="C37" s="48"/>
    </row>
    <row r="38" spans="1:3" x14ac:dyDescent="0.25">
      <c r="C38" s="48"/>
    </row>
    <row r="39" spans="1:3" x14ac:dyDescent="0.25">
      <c r="C39" s="48"/>
    </row>
    <row r="40" spans="1:3" x14ac:dyDescent="0.25">
      <c r="C40" s="48"/>
    </row>
    <row r="41" spans="1:3" x14ac:dyDescent="0.25">
      <c r="C41" s="48"/>
    </row>
    <row r="42" spans="1:3" x14ac:dyDescent="0.25">
      <c r="C42" s="48"/>
    </row>
    <row r="43" spans="1:3" x14ac:dyDescent="0.25">
      <c r="C43" s="48"/>
    </row>
    <row r="44" spans="1:3" x14ac:dyDescent="0.25">
      <c r="C44" s="48"/>
    </row>
    <row r="45" spans="1:3" x14ac:dyDescent="0.25">
      <c r="C45" s="48"/>
    </row>
    <row r="46" spans="1:3" x14ac:dyDescent="0.25">
      <c r="C46" s="48"/>
    </row>
    <row r="47" spans="1:3" x14ac:dyDescent="0.25">
      <c r="C47" s="48"/>
    </row>
    <row r="48" spans="1:3" x14ac:dyDescent="0.25">
      <c r="C48" s="48"/>
    </row>
    <row r="49" spans="3:3" x14ac:dyDescent="0.25">
      <c r="C49" s="48"/>
    </row>
    <row r="50" spans="3:3" x14ac:dyDescent="0.25">
      <c r="C50" s="48"/>
    </row>
    <row r="51" spans="3:3" x14ac:dyDescent="0.25">
      <c r="C51" s="48"/>
    </row>
    <row r="52" spans="3:3" x14ac:dyDescent="0.25">
      <c r="C52" s="48"/>
    </row>
    <row r="53" spans="3:3" x14ac:dyDescent="0.25">
      <c r="C53" s="48"/>
    </row>
    <row r="54" spans="3:3" x14ac:dyDescent="0.25">
      <c r="C54" s="48"/>
    </row>
    <row r="55" spans="3:3" x14ac:dyDescent="0.25">
      <c r="C55" s="48"/>
    </row>
    <row r="56" spans="3:3" x14ac:dyDescent="0.25">
      <c r="C56" s="48"/>
    </row>
    <row r="57" spans="3:3" x14ac:dyDescent="0.25">
      <c r="C57" s="48"/>
    </row>
    <row r="58" spans="3:3" x14ac:dyDescent="0.25">
      <c r="C58" s="48"/>
    </row>
    <row r="59" spans="3:3" x14ac:dyDescent="0.25">
      <c r="C59" s="48"/>
    </row>
    <row r="60" spans="3:3" x14ac:dyDescent="0.25">
      <c r="C60" s="48"/>
    </row>
    <row r="61" spans="3:3" x14ac:dyDescent="0.25">
      <c r="C61" s="48"/>
    </row>
    <row r="62" spans="3:3" x14ac:dyDescent="0.25">
      <c r="C62" s="48"/>
    </row>
    <row r="63" spans="3:3" x14ac:dyDescent="0.25">
      <c r="C63" s="48"/>
    </row>
    <row r="64" spans="3:3" x14ac:dyDescent="0.25">
      <c r="C64" s="48"/>
    </row>
    <row r="65" spans="3:3" x14ac:dyDescent="0.25">
      <c r="C65" s="48"/>
    </row>
    <row r="66" spans="3:3" x14ac:dyDescent="0.25">
      <c r="C66" s="48"/>
    </row>
    <row r="67" spans="3:3" x14ac:dyDescent="0.25">
      <c r="C67" s="48"/>
    </row>
    <row r="68" spans="3:3" x14ac:dyDescent="0.25">
      <c r="C68" s="48"/>
    </row>
    <row r="69" spans="3:3" x14ac:dyDescent="0.25">
      <c r="C69" s="48"/>
    </row>
    <row r="70" spans="3:3" x14ac:dyDescent="0.25">
      <c r="C70" s="48"/>
    </row>
    <row r="71" spans="3:3" x14ac:dyDescent="0.25">
      <c r="C71" s="48"/>
    </row>
    <row r="72" spans="3:3" x14ac:dyDescent="0.25">
      <c r="C72" s="48"/>
    </row>
    <row r="73" spans="3:3" x14ac:dyDescent="0.25">
      <c r="C73" s="48"/>
    </row>
    <row r="74" spans="3:3" x14ac:dyDescent="0.25">
      <c r="C74" s="48"/>
    </row>
    <row r="75" spans="3:3" x14ac:dyDescent="0.25">
      <c r="C75" s="48"/>
    </row>
    <row r="76" spans="3:3" x14ac:dyDescent="0.25">
      <c r="C76" s="48"/>
    </row>
    <row r="77" spans="3:3" x14ac:dyDescent="0.25">
      <c r="C77" s="48"/>
    </row>
    <row r="78" spans="3:3" x14ac:dyDescent="0.25">
      <c r="C78" s="48"/>
    </row>
    <row r="79" spans="3:3" x14ac:dyDescent="0.25">
      <c r="C79" s="48"/>
    </row>
    <row r="80" spans="3:3" x14ac:dyDescent="0.25">
      <c r="C80" s="48"/>
    </row>
    <row r="81" spans="3:3" x14ac:dyDescent="0.25">
      <c r="C81" s="48"/>
    </row>
    <row r="82" spans="3:3" x14ac:dyDescent="0.25">
      <c r="C82" s="48"/>
    </row>
    <row r="83" spans="3:3" x14ac:dyDescent="0.25">
      <c r="C83" s="48"/>
    </row>
    <row r="84" spans="3:3" x14ac:dyDescent="0.25">
      <c r="C84" s="48"/>
    </row>
    <row r="85" spans="3:3" x14ac:dyDescent="0.25">
      <c r="C85" s="48"/>
    </row>
    <row r="86" spans="3:3" x14ac:dyDescent="0.25">
      <c r="C86" s="48"/>
    </row>
    <row r="87" spans="3:3" x14ac:dyDescent="0.25">
      <c r="C87" s="48"/>
    </row>
    <row r="88" spans="3:3" x14ac:dyDescent="0.25">
      <c r="C88" s="48"/>
    </row>
    <row r="89" spans="3:3" x14ac:dyDescent="0.25">
      <c r="C89" s="48"/>
    </row>
    <row r="90" spans="3:3" x14ac:dyDescent="0.25">
      <c r="C90" s="48"/>
    </row>
    <row r="91" spans="3:3" x14ac:dyDescent="0.25">
      <c r="C91" s="48"/>
    </row>
    <row r="92" spans="3:3" x14ac:dyDescent="0.25">
      <c r="C92" s="48"/>
    </row>
    <row r="93" spans="3:3" x14ac:dyDescent="0.25">
      <c r="C93" s="48"/>
    </row>
    <row r="94" spans="3:3" x14ac:dyDescent="0.25">
      <c r="C94" s="48"/>
    </row>
    <row r="95" spans="3:3" x14ac:dyDescent="0.25">
      <c r="C95" s="48"/>
    </row>
    <row r="96" spans="3:3" x14ac:dyDescent="0.25">
      <c r="C96" s="48"/>
    </row>
    <row r="97" spans="3:3" x14ac:dyDescent="0.25">
      <c r="C97" s="48"/>
    </row>
    <row r="98" spans="3:3" x14ac:dyDescent="0.25">
      <c r="C98" s="48"/>
    </row>
    <row r="99" spans="3:3" x14ac:dyDescent="0.25">
      <c r="C99" s="48"/>
    </row>
    <row r="100" spans="3:3" x14ac:dyDescent="0.25">
      <c r="C100" s="48"/>
    </row>
    <row r="101" spans="3:3" x14ac:dyDescent="0.25">
      <c r="C101" s="48"/>
    </row>
    <row r="102" spans="3:3" x14ac:dyDescent="0.25">
      <c r="C102" s="48"/>
    </row>
    <row r="103" spans="3:3" x14ac:dyDescent="0.25">
      <c r="C103" s="48"/>
    </row>
    <row r="104" spans="3:3" x14ac:dyDescent="0.25">
      <c r="C104" s="48"/>
    </row>
    <row r="105" spans="3:3" x14ac:dyDescent="0.25">
      <c r="C105" s="48"/>
    </row>
    <row r="106" spans="3:3" x14ac:dyDescent="0.25">
      <c r="C106" s="48"/>
    </row>
  </sheetData>
  <sheetProtection sheet="1" objects="1" scenarios="1"/>
  <protectedRanges>
    <protectedRange sqref="A7:C18 A23:A24 A3 A32" name="Range2"/>
  </protectedRanges>
  <mergeCells count="2">
    <mergeCell ref="D5:F5"/>
    <mergeCell ref="A1:F1"/>
  </mergeCells>
  <phoneticPr fontId="3" type="noConversion"/>
  <pageMargins left="0.75" right="0.75" top="1" bottom="1" header="0.5" footer="0.5"/>
  <pageSetup orientation="portrait" r:id="rId1"/>
  <headerFooter alignWithMargins="0">
    <oddFooter>&amp;C©2009, InfoComm International®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Normal="100" workbookViewId="0">
      <selection activeCell="A4" sqref="A4"/>
    </sheetView>
  </sheetViews>
  <sheetFormatPr defaultRowHeight="13.2" x14ac:dyDescent="0.25"/>
  <cols>
    <col min="1" max="1" width="16.6640625" customWidth="1"/>
    <col min="6" max="6" width="16" customWidth="1"/>
    <col min="8" max="8" width="14" customWidth="1"/>
    <col min="10" max="10" width="9" bestFit="1" customWidth="1"/>
  </cols>
  <sheetData>
    <row r="1" spans="1:8" x14ac:dyDescent="0.25">
      <c r="A1" s="133" t="s">
        <v>197</v>
      </c>
      <c r="B1" s="133"/>
      <c r="C1" s="133"/>
      <c r="D1" s="133"/>
      <c r="F1" s="133" t="s">
        <v>207</v>
      </c>
      <c r="G1" s="133"/>
      <c r="H1" s="133"/>
    </row>
    <row r="3" spans="1:8" x14ac:dyDescent="0.25">
      <c r="A3" s="5" t="s">
        <v>74</v>
      </c>
      <c r="B3" s="5" t="s">
        <v>75</v>
      </c>
      <c r="C3" s="5" t="s">
        <v>76</v>
      </c>
      <c r="D3" s="5" t="s">
        <v>77</v>
      </c>
    </row>
    <row r="4" spans="1:8" x14ac:dyDescent="0.25">
      <c r="A4" s="15">
        <v>1000</v>
      </c>
      <c r="B4" s="16">
        <f>340.29/A4</f>
        <v>0.34029000000000004</v>
      </c>
      <c r="C4" s="14">
        <f>1130/A4</f>
        <v>1.1299999999999999</v>
      </c>
      <c r="D4" s="14">
        <f>(12*1130)/A4</f>
        <v>13.56</v>
      </c>
      <c r="F4" s="38">
        <v>23</v>
      </c>
      <c r="G4" s="32" t="s">
        <v>204</v>
      </c>
      <c r="H4" s="32"/>
    </row>
    <row r="5" spans="1:8" x14ac:dyDescent="0.25">
      <c r="F5" s="35">
        <f>IF(F4=0,0,1/F4*1000000000)</f>
        <v>43478260.869565219</v>
      </c>
      <c r="G5" s="32" t="s">
        <v>205</v>
      </c>
      <c r="H5" s="32"/>
    </row>
    <row r="6" spans="1:8" x14ac:dyDescent="0.25">
      <c r="A6" t="s">
        <v>75</v>
      </c>
      <c r="B6" t="s">
        <v>74</v>
      </c>
      <c r="F6" s="32"/>
      <c r="G6" s="32"/>
      <c r="H6" s="32"/>
    </row>
    <row r="7" spans="1:8" x14ac:dyDescent="0.25">
      <c r="A7" s="3">
        <v>0.68</v>
      </c>
      <c r="B7" s="14">
        <f>340.29*(1/A7)</f>
        <v>500.4264705882353</v>
      </c>
      <c r="F7" s="37">
        <v>1</v>
      </c>
      <c r="G7" s="32" t="s">
        <v>206</v>
      </c>
      <c r="H7" s="32"/>
    </row>
    <row r="8" spans="1:8" x14ac:dyDescent="0.25">
      <c r="F8" s="34">
        <v>4000</v>
      </c>
      <c r="G8" s="32" t="s">
        <v>205</v>
      </c>
      <c r="H8" s="32"/>
    </row>
    <row r="9" spans="1:8" x14ac:dyDescent="0.25">
      <c r="A9" t="s">
        <v>76</v>
      </c>
      <c r="B9" t="s">
        <v>74</v>
      </c>
      <c r="F9" s="32"/>
      <c r="G9" s="32"/>
      <c r="H9" s="32"/>
    </row>
    <row r="10" spans="1:8" x14ac:dyDescent="0.25">
      <c r="A10" s="3">
        <v>1.1299999999999999</v>
      </c>
      <c r="B10" s="14">
        <f>1130*(1/A10)</f>
        <v>1000</v>
      </c>
      <c r="F10" s="37">
        <v>70778880</v>
      </c>
      <c r="G10" s="32" t="s">
        <v>205</v>
      </c>
      <c r="H10" s="32"/>
    </row>
    <row r="11" spans="1:8" x14ac:dyDescent="0.25">
      <c r="F11" s="36">
        <f>IF(F10=0,0,1/F10*1000000000)</f>
        <v>14.128508391203704</v>
      </c>
      <c r="G11" s="32" t="s">
        <v>204</v>
      </c>
      <c r="H11" s="32"/>
    </row>
    <row r="12" spans="1:8" x14ac:dyDescent="0.25">
      <c r="A12" t="s">
        <v>77</v>
      </c>
      <c r="B12" t="s">
        <v>74</v>
      </c>
      <c r="F12" s="41">
        <f>IF(F10=0,0,1/F10*1000)</f>
        <v>1.4128508391203704E-5</v>
      </c>
      <c r="G12" s="32" t="s">
        <v>206</v>
      </c>
      <c r="H12" s="32"/>
    </row>
    <row r="13" spans="1:8" x14ac:dyDescent="0.25">
      <c r="A13" s="3">
        <v>12</v>
      </c>
      <c r="B13" s="14">
        <f>(12*1130)*(1/A13)</f>
        <v>1130</v>
      </c>
    </row>
    <row r="16" spans="1:8" x14ac:dyDescent="0.25">
      <c r="A16" s="4" t="s">
        <v>214</v>
      </c>
      <c r="F16" s="4" t="s">
        <v>217</v>
      </c>
    </row>
    <row r="17" spans="1:8" x14ac:dyDescent="0.25">
      <c r="A17" s="3">
        <v>0.14000000000000001</v>
      </c>
      <c r="B17" t="s">
        <v>215</v>
      </c>
      <c r="F17" s="3">
        <v>33</v>
      </c>
      <c r="G17" t="s">
        <v>248</v>
      </c>
    </row>
    <row r="18" spans="1:8" x14ac:dyDescent="0.25">
      <c r="A18">
        <v>1130</v>
      </c>
      <c r="B18" t="s">
        <v>307</v>
      </c>
      <c r="F18">
        <v>343</v>
      </c>
      <c r="G18" t="s">
        <v>249</v>
      </c>
    </row>
    <row r="19" spans="1:8" x14ac:dyDescent="0.25">
      <c r="A19" s="10">
        <f>1*A17/A18*1000</f>
        <v>0.12389380530973454</v>
      </c>
      <c r="B19" t="s">
        <v>216</v>
      </c>
      <c r="F19" s="10">
        <f>1*F17/F18*1000</f>
        <v>96.209912536443142</v>
      </c>
      <c r="G19" t="s">
        <v>216</v>
      </c>
    </row>
    <row r="22" spans="1:8" x14ac:dyDescent="0.25">
      <c r="A22" s="4" t="s">
        <v>208</v>
      </c>
    </row>
    <row r="23" spans="1:8" x14ac:dyDescent="0.25">
      <c r="A23" s="3">
        <v>1024</v>
      </c>
      <c r="B23" t="s">
        <v>209</v>
      </c>
    </row>
    <row r="24" spans="1:8" x14ac:dyDescent="0.25">
      <c r="A24" s="3">
        <v>768</v>
      </c>
      <c r="B24" t="s">
        <v>210</v>
      </c>
    </row>
    <row r="25" spans="1:8" x14ac:dyDescent="0.25">
      <c r="A25" s="3">
        <v>60</v>
      </c>
      <c r="B25" s="54" t="s">
        <v>490</v>
      </c>
    </row>
    <row r="26" spans="1:8" x14ac:dyDescent="0.25">
      <c r="A26" s="10">
        <f>1/(A23*A24*A25)*1000000000</f>
        <v>21.192762586805557</v>
      </c>
      <c r="B26" t="s">
        <v>247</v>
      </c>
      <c r="H26" s="39"/>
    </row>
    <row r="27" spans="1:8" x14ac:dyDescent="0.25">
      <c r="A27" s="10">
        <f>A26*2</f>
        <v>42.385525173611114</v>
      </c>
      <c r="B27" t="s">
        <v>212</v>
      </c>
      <c r="H27" s="39"/>
    </row>
    <row r="28" spans="1:8" x14ac:dyDescent="0.25">
      <c r="A28" s="10">
        <f>A27/3</f>
        <v>14.128508391203704</v>
      </c>
      <c r="B28" t="s">
        <v>213</v>
      </c>
      <c r="G28">
        <f>POWER('Room Mode'!A3*'Room Mode'!A4*'Room Mode'!A5,1/3)</f>
        <v>9.356856762281172</v>
      </c>
    </row>
    <row r="29" spans="1:8" x14ac:dyDescent="0.25">
      <c r="A29" s="32">
        <f>1/A28*1000000000</f>
        <v>70778880</v>
      </c>
      <c r="B29" t="s">
        <v>211</v>
      </c>
      <c r="H29" s="32"/>
    </row>
    <row r="30" spans="1:8" x14ac:dyDescent="0.25">
      <c r="H30" s="40"/>
    </row>
    <row r="31" spans="1:8" x14ac:dyDescent="0.25">
      <c r="H31" s="40"/>
    </row>
    <row r="32" spans="1:8" x14ac:dyDescent="0.25">
      <c r="H32" s="40"/>
    </row>
    <row r="35" s="54" customFormat="1" x14ac:dyDescent="0.25"/>
  </sheetData>
  <sheetProtection sheet="1" objects="1" scenarios="1"/>
  <protectedRanges>
    <protectedRange sqref="F17 A17" name="Range2"/>
    <protectedRange sqref="A4 A7 A10 A13" name="Range1"/>
  </protectedRanges>
  <mergeCells count="2">
    <mergeCell ref="A1:D1"/>
    <mergeCell ref="F1:H1"/>
  </mergeCells>
  <phoneticPr fontId="3" type="noConversion"/>
  <pageMargins left="0.75" right="0.75" top="1" bottom="1" header="0.5" footer="0.5"/>
  <pageSetup scale="95" orientation="portrait" r:id="rId1"/>
  <headerFooter alignWithMargins="0">
    <oddFooter>&amp;C©2009, InfoComm International®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6"/>
  <sheetViews>
    <sheetView workbookViewId="0">
      <selection activeCell="A6" sqref="A6"/>
    </sheetView>
  </sheetViews>
  <sheetFormatPr defaultRowHeight="13.2" x14ac:dyDescent="0.25"/>
  <cols>
    <col min="4" max="4" width="12.6640625" customWidth="1"/>
  </cols>
  <sheetData>
    <row r="1" spans="1:5" x14ac:dyDescent="0.25">
      <c r="A1" s="4" t="s">
        <v>303</v>
      </c>
    </row>
    <row r="2" spans="1:5" x14ac:dyDescent="0.25">
      <c r="A2" s="55">
        <v>344</v>
      </c>
      <c r="B2" s="54" t="s">
        <v>308</v>
      </c>
    </row>
    <row r="3" spans="1:5" x14ac:dyDescent="0.25">
      <c r="A3" s="3">
        <v>12.8</v>
      </c>
      <c r="B3" t="s">
        <v>304</v>
      </c>
    </row>
    <row r="4" spans="1:5" x14ac:dyDescent="0.25">
      <c r="A4" s="3">
        <v>12.8</v>
      </c>
      <c r="B4" t="s">
        <v>305</v>
      </c>
    </row>
    <row r="5" spans="1:5" x14ac:dyDescent="0.25">
      <c r="A5" s="3">
        <v>5</v>
      </c>
      <c r="B5" t="s">
        <v>306</v>
      </c>
    </row>
    <row r="6" spans="1:5" x14ac:dyDescent="0.25">
      <c r="A6" t="s">
        <v>312</v>
      </c>
    </row>
    <row r="7" spans="1:5" x14ac:dyDescent="0.25">
      <c r="A7" s="56">
        <f>A2/(2*A3)</f>
        <v>13.4375</v>
      </c>
      <c r="B7" t="s">
        <v>309</v>
      </c>
    </row>
    <row r="8" spans="1:5" x14ac:dyDescent="0.25">
      <c r="A8" s="56">
        <f>A2/(2*A4)</f>
        <v>13.4375</v>
      </c>
      <c r="B8" t="s">
        <v>310</v>
      </c>
    </row>
    <row r="9" spans="1:5" x14ac:dyDescent="0.25">
      <c r="A9" s="56">
        <f>A2/(2*A5)</f>
        <v>34.4</v>
      </c>
      <c r="B9" t="s">
        <v>311</v>
      </c>
    </row>
    <row r="10" spans="1:5" x14ac:dyDescent="0.25">
      <c r="A10" s="10"/>
    </row>
    <row r="12" spans="1:5" x14ac:dyDescent="0.25">
      <c r="A12" s="5" t="s">
        <v>313</v>
      </c>
      <c r="B12" s="5" t="s">
        <v>314</v>
      </c>
      <c r="C12" s="5" t="s">
        <v>315</v>
      </c>
      <c r="D12" s="5" t="s">
        <v>152</v>
      </c>
      <c r="E12" s="5" t="s">
        <v>74</v>
      </c>
    </row>
    <row r="13" spans="1:5" x14ac:dyDescent="0.25">
      <c r="A13" s="5">
        <v>0</v>
      </c>
      <c r="B13" s="5">
        <v>0</v>
      </c>
      <c r="C13" s="5">
        <v>1</v>
      </c>
      <c r="D13" t="s">
        <v>316</v>
      </c>
      <c r="E13" s="56">
        <f>($A$2/2)*SQRT(((A13/$A$3)^2)+((B13/$A$4)^2)+((C13/$A$5)^2))</f>
        <v>34.4</v>
      </c>
    </row>
    <row r="14" spans="1:5" x14ac:dyDescent="0.25">
      <c r="A14" s="5">
        <v>0</v>
      </c>
      <c r="B14" s="5">
        <v>0</v>
      </c>
      <c r="C14" s="5">
        <v>2</v>
      </c>
      <c r="D14" t="s">
        <v>316</v>
      </c>
      <c r="E14" s="56">
        <f t="shared" ref="E14:E77" si="0">($A$2/2)*SQRT(((A14/$A$3)^2)+((B14/$A$4)^2)+((C14/$A$5)^2))</f>
        <v>68.8</v>
      </c>
    </row>
    <row r="15" spans="1:5" x14ac:dyDescent="0.25">
      <c r="A15" s="5">
        <v>0</v>
      </c>
      <c r="B15" s="5">
        <v>0</v>
      </c>
      <c r="C15" s="5">
        <v>3</v>
      </c>
      <c r="D15" t="s">
        <v>316</v>
      </c>
      <c r="E15" s="56">
        <f t="shared" si="0"/>
        <v>103.2</v>
      </c>
    </row>
    <row r="16" spans="1:5" x14ac:dyDescent="0.25">
      <c r="A16" s="5">
        <v>0</v>
      </c>
      <c r="B16" s="5">
        <v>0</v>
      </c>
      <c r="C16" s="5">
        <v>4</v>
      </c>
      <c r="D16" t="s">
        <v>316</v>
      </c>
      <c r="E16" s="56">
        <f t="shared" si="0"/>
        <v>137.6</v>
      </c>
    </row>
    <row r="17" spans="1:5" x14ac:dyDescent="0.25">
      <c r="A17" s="5">
        <v>0</v>
      </c>
      <c r="B17" s="5">
        <v>1</v>
      </c>
      <c r="C17" s="5">
        <v>0</v>
      </c>
      <c r="D17" t="s">
        <v>316</v>
      </c>
      <c r="E17" s="56">
        <f t="shared" si="0"/>
        <v>13.4375</v>
      </c>
    </row>
    <row r="18" spans="1:5" x14ac:dyDescent="0.25">
      <c r="A18" s="5">
        <v>0</v>
      </c>
      <c r="B18" s="5">
        <v>1</v>
      </c>
      <c r="C18" s="5">
        <v>1</v>
      </c>
      <c r="D18" t="s">
        <v>317</v>
      </c>
      <c r="E18" s="56">
        <f t="shared" si="0"/>
        <v>36.931374280549051</v>
      </c>
    </row>
    <row r="19" spans="1:5" x14ac:dyDescent="0.25">
      <c r="A19" s="5">
        <v>0</v>
      </c>
      <c r="B19" s="5">
        <v>1</v>
      </c>
      <c r="C19" s="5">
        <v>2</v>
      </c>
      <c r="D19" t="s">
        <v>317</v>
      </c>
      <c r="E19" s="56">
        <f t="shared" si="0"/>
        <v>70.099974366971068</v>
      </c>
    </row>
    <row r="20" spans="1:5" x14ac:dyDescent="0.25">
      <c r="A20" s="5">
        <v>0</v>
      </c>
      <c r="B20" s="5">
        <v>1</v>
      </c>
      <c r="C20" s="5">
        <v>3</v>
      </c>
      <c r="D20" t="s">
        <v>317</v>
      </c>
      <c r="E20" s="56">
        <f t="shared" si="0"/>
        <v>104.07116030029644</v>
      </c>
    </row>
    <row r="21" spans="1:5" x14ac:dyDescent="0.25">
      <c r="A21" s="5">
        <v>0</v>
      </c>
      <c r="B21" s="5">
        <v>1</v>
      </c>
      <c r="C21" s="5">
        <v>4</v>
      </c>
      <c r="D21" t="s">
        <v>317</v>
      </c>
      <c r="E21" s="56">
        <f t="shared" si="0"/>
        <v>138.25457101394517</v>
      </c>
    </row>
    <row r="22" spans="1:5" x14ac:dyDescent="0.25">
      <c r="A22" s="5">
        <v>0</v>
      </c>
      <c r="B22" s="5">
        <v>2</v>
      </c>
      <c r="C22" s="5">
        <v>0</v>
      </c>
      <c r="D22" t="s">
        <v>316</v>
      </c>
      <c r="E22" s="56">
        <f t="shared" si="0"/>
        <v>26.875</v>
      </c>
    </row>
    <row r="23" spans="1:5" x14ac:dyDescent="0.25">
      <c r="A23" s="5">
        <v>0</v>
      </c>
      <c r="B23" s="5">
        <v>2</v>
      </c>
      <c r="C23" s="5">
        <v>1</v>
      </c>
      <c r="D23" t="s">
        <v>317</v>
      </c>
      <c r="E23" s="56">
        <f t="shared" si="0"/>
        <v>43.653472084130946</v>
      </c>
    </row>
    <row r="24" spans="1:5" x14ac:dyDescent="0.25">
      <c r="A24" s="5">
        <v>0</v>
      </c>
      <c r="B24" s="5">
        <v>2</v>
      </c>
      <c r="C24" s="5">
        <v>2</v>
      </c>
      <c r="D24" t="s">
        <v>317</v>
      </c>
      <c r="E24" s="56">
        <f t="shared" si="0"/>
        <v>73.862748561098101</v>
      </c>
    </row>
    <row r="25" spans="1:5" x14ac:dyDescent="0.25">
      <c r="A25" s="5">
        <v>0</v>
      </c>
      <c r="B25" s="5">
        <v>2</v>
      </c>
      <c r="C25" s="5">
        <v>3</v>
      </c>
      <c r="D25" t="s">
        <v>317</v>
      </c>
      <c r="E25" s="56">
        <f t="shared" si="0"/>
        <v>106.6419505869993</v>
      </c>
    </row>
    <row r="26" spans="1:5" x14ac:dyDescent="0.25">
      <c r="A26" s="5">
        <v>0</v>
      </c>
      <c r="B26" s="5">
        <v>2</v>
      </c>
      <c r="C26" s="5">
        <v>4</v>
      </c>
      <c r="D26" t="s">
        <v>317</v>
      </c>
      <c r="E26" s="56">
        <f t="shared" si="0"/>
        <v>140.19994873394214</v>
      </c>
    </row>
    <row r="27" spans="1:5" x14ac:dyDescent="0.25">
      <c r="A27" s="5">
        <v>0</v>
      </c>
      <c r="B27" s="5">
        <v>3</v>
      </c>
      <c r="C27" s="5">
        <v>0</v>
      </c>
      <c r="D27" t="s">
        <v>316</v>
      </c>
      <c r="E27" s="56">
        <f t="shared" si="0"/>
        <v>40.3125</v>
      </c>
    </row>
    <row r="28" spans="1:5" x14ac:dyDescent="0.25">
      <c r="A28" s="5">
        <v>0</v>
      </c>
      <c r="B28" s="5">
        <v>3</v>
      </c>
      <c r="C28" s="5">
        <v>1</v>
      </c>
      <c r="D28" t="s">
        <v>317</v>
      </c>
      <c r="E28" s="56">
        <f t="shared" si="0"/>
        <v>52.994883302541581</v>
      </c>
    </row>
    <row r="29" spans="1:5" x14ac:dyDescent="0.25">
      <c r="A29" s="5">
        <v>0</v>
      </c>
      <c r="B29" s="5">
        <v>3</v>
      </c>
      <c r="C29" s="5">
        <v>2</v>
      </c>
      <c r="D29" t="s">
        <v>317</v>
      </c>
      <c r="E29" s="56">
        <f t="shared" si="0"/>
        <v>79.740439278010001</v>
      </c>
    </row>
    <row r="30" spans="1:5" x14ac:dyDescent="0.25">
      <c r="A30" s="5">
        <v>0</v>
      </c>
      <c r="B30" s="5">
        <v>3</v>
      </c>
      <c r="C30" s="5">
        <v>3</v>
      </c>
      <c r="D30" t="s">
        <v>317</v>
      </c>
      <c r="E30" s="56">
        <f t="shared" si="0"/>
        <v>110.79412284164717</v>
      </c>
    </row>
    <row r="31" spans="1:5" x14ac:dyDescent="0.25">
      <c r="A31" s="5">
        <v>0</v>
      </c>
      <c r="B31" s="5">
        <v>3</v>
      </c>
      <c r="C31" s="5">
        <v>4</v>
      </c>
      <c r="D31" t="s">
        <v>317</v>
      </c>
      <c r="E31" s="56">
        <f t="shared" si="0"/>
        <v>143.38360316385553</v>
      </c>
    </row>
    <row r="32" spans="1:5" x14ac:dyDescent="0.25">
      <c r="A32" s="5">
        <v>0</v>
      </c>
      <c r="B32" s="5">
        <v>4</v>
      </c>
      <c r="C32" s="5">
        <v>0</v>
      </c>
      <c r="D32" t="s">
        <v>316</v>
      </c>
      <c r="E32" s="56">
        <f t="shared" si="0"/>
        <v>53.75</v>
      </c>
    </row>
    <row r="33" spans="1:5" x14ac:dyDescent="0.25">
      <c r="A33" s="5">
        <v>0</v>
      </c>
      <c r="B33" s="5">
        <v>4</v>
      </c>
      <c r="C33" s="5">
        <v>1</v>
      </c>
      <c r="D33" t="s">
        <v>317</v>
      </c>
      <c r="E33" s="56">
        <f t="shared" si="0"/>
        <v>63.815534942520074</v>
      </c>
    </row>
    <row r="34" spans="1:5" x14ac:dyDescent="0.25">
      <c r="A34" s="5">
        <v>0</v>
      </c>
      <c r="B34" s="5">
        <v>4</v>
      </c>
      <c r="C34" s="5">
        <v>2</v>
      </c>
      <c r="D34" t="s">
        <v>317</v>
      </c>
      <c r="E34" s="56">
        <f t="shared" si="0"/>
        <v>87.306944168261893</v>
      </c>
    </row>
    <row r="35" spans="1:5" x14ac:dyDescent="0.25">
      <c r="A35" s="5">
        <v>0</v>
      </c>
      <c r="B35" s="5">
        <v>4</v>
      </c>
      <c r="C35" s="5">
        <v>3</v>
      </c>
      <c r="D35" t="s">
        <v>317</v>
      </c>
      <c r="E35" s="56">
        <f t="shared" si="0"/>
        <v>116.35850849851936</v>
      </c>
    </row>
    <row r="36" spans="1:5" x14ac:dyDescent="0.25">
      <c r="A36" s="5">
        <v>0</v>
      </c>
      <c r="B36" s="5">
        <v>4</v>
      </c>
      <c r="C36" s="5">
        <v>4</v>
      </c>
      <c r="D36" t="s">
        <v>317</v>
      </c>
      <c r="E36" s="56">
        <f t="shared" si="0"/>
        <v>147.7254971221962</v>
      </c>
    </row>
    <row r="37" spans="1:5" x14ac:dyDescent="0.25">
      <c r="A37" s="5">
        <v>1</v>
      </c>
      <c r="B37" s="5">
        <v>0</v>
      </c>
      <c r="C37" s="5">
        <v>0</v>
      </c>
      <c r="D37" t="s">
        <v>316</v>
      </c>
      <c r="E37" s="56">
        <f t="shared" si="0"/>
        <v>13.4375</v>
      </c>
    </row>
    <row r="38" spans="1:5" x14ac:dyDescent="0.25">
      <c r="A38" s="5">
        <v>1</v>
      </c>
      <c r="B38" s="5">
        <v>0</v>
      </c>
      <c r="C38" s="5">
        <v>1</v>
      </c>
      <c r="D38" t="s">
        <v>317</v>
      </c>
      <c r="E38" s="56">
        <f t="shared" si="0"/>
        <v>36.931374280549051</v>
      </c>
    </row>
    <row r="39" spans="1:5" x14ac:dyDescent="0.25">
      <c r="A39" s="5">
        <v>1</v>
      </c>
      <c r="B39" s="5">
        <v>0</v>
      </c>
      <c r="C39" s="5">
        <v>2</v>
      </c>
      <c r="D39" t="s">
        <v>317</v>
      </c>
      <c r="E39" s="56">
        <f t="shared" si="0"/>
        <v>70.099974366971068</v>
      </c>
    </row>
    <row r="40" spans="1:5" x14ac:dyDescent="0.25">
      <c r="A40" s="5">
        <v>1</v>
      </c>
      <c r="B40" s="5">
        <v>0</v>
      </c>
      <c r="C40" s="5">
        <v>3</v>
      </c>
      <c r="D40" t="s">
        <v>317</v>
      </c>
      <c r="E40" s="56">
        <f t="shared" si="0"/>
        <v>104.07116030029644</v>
      </c>
    </row>
    <row r="41" spans="1:5" x14ac:dyDescent="0.25">
      <c r="A41" s="5">
        <v>1</v>
      </c>
      <c r="B41" s="5">
        <v>0</v>
      </c>
      <c r="C41" s="5">
        <v>4</v>
      </c>
      <c r="D41" t="s">
        <v>317</v>
      </c>
      <c r="E41" s="56">
        <f t="shared" si="0"/>
        <v>138.25457101394517</v>
      </c>
    </row>
    <row r="42" spans="1:5" x14ac:dyDescent="0.25">
      <c r="A42" s="5">
        <v>1</v>
      </c>
      <c r="B42" s="5">
        <v>1</v>
      </c>
      <c r="C42" s="5">
        <v>0</v>
      </c>
      <c r="D42" t="s">
        <v>317</v>
      </c>
      <c r="E42" s="56">
        <f t="shared" si="0"/>
        <v>19.003494744388465</v>
      </c>
    </row>
    <row r="43" spans="1:5" x14ac:dyDescent="0.25">
      <c r="A43" s="5">
        <v>1</v>
      </c>
      <c r="B43" s="5">
        <v>1</v>
      </c>
      <c r="C43" s="5">
        <v>1</v>
      </c>
      <c r="D43" t="s">
        <v>318</v>
      </c>
      <c r="E43" s="56">
        <f t="shared" si="0"/>
        <v>39.300035782426463</v>
      </c>
    </row>
    <row r="44" spans="1:5" x14ac:dyDescent="0.25">
      <c r="A44" s="5">
        <v>1</v>
      </c>
      <c r="B44" s="5">
        <v>1</v>
      </c>
      <c r="C44" s="5">
        <v>2</v>
      </c>
      <c r="D44" t="s">
        <v>318</v>
      </c>
      <c r="E44" s="56">
        <f t="shared" si="0"/>
        <v>71.376276258291881</v>
      </c>
    </row>
    <row r="45" spans="1:5" x14ac:dyDescent="0.25">
      <c r="A45" s="5">
        <v>1</v>
      </c>
      <c r="B45" s="5">
        <v>1</v>
      </c>
      <c r="C45" s="5">
        <v>3</v>
      </c>
      <c r="D45" t="s">
        <v>318</v>
      </c>
      <c r="E45" s="56">
        <f t="shared" si="0"/>
        <v>104.9350885666944</v>
      </c>
    </row>
    <row r="46" spans="1:5" x14ac:dyDescent="0.25">
      <c r="A46" s="5">
        <v>1</v>
      </c>
      <c r="B46" s="5">
        <v>1</v>
      </c>
      <c r="C46" s="5">
        <v>4</v>
      </c>
      <c r="D46" t="s">
        <v>318</v>
      </c>
      <c r="E46" s="56">
        <f t="shared" si="0"/>
        <v>138.90605750830309</v>
      </c>
    </row>
    <row r="47" spans="1:5" x14ac:dyDescent="0.25">
      <c r="A47" s="5">
        <v>1</v>
      </c>
      <c r="B47" s="5">
        <v>2</v>
      </c>
      <c r="C47" s="5">
        <v>0</v>
      </c>
      <c r="D47" t="s">
        <v>317</v>
      </c>
      <c r="E47" s="56">
        <f t="shared" si="0"/>
        <v>30.047163447653425</v>
      </c>
    </row>
    <row r="48" spans="1:5" x14ac:dyDescent="0.25">
      <c r="A48" s="5">
        <v>1</v>
      </c>
      <c r="B48" s="5">
        <v>2</v>
      </c>
      <c r="C48" s="5">
        <v>1</v>
      </c>
      <c r="D48" t="s">
        <v>318</v>
      </c>
      <c r="E48" s="56">
        <f t="shared" si="0"/>
        <v>45.674851190233781</v>
      </c>
    </row>
    <row r="49" spans="1:5" x14ac:dyDescent="0.25">
      <c r="A49" s="5">
        <v>1</v>
      </c>
      <c r="B49" s="5">
        <v>2</v>
      </c>
      <c r="C49" s="5">
        <v>2</v>
      </c>
      <c r="D49" t="s">
        <v>318</v>
      </c>
      <c r="E49" s="56">
        <f t="shared" si="0"/>
        <v>75.07510926565476</v>
      </c>
    </row>
    <row r="50" spans="1:5" x14ac:dyDescent="0.25">
      <c r="A50" s="5">
        <v>1</v>
      </c>
      <c r="B50" s="5">
        <v>2</v>
      </c>
      <c r="C50" s="5">
        <v>3</v>
      </c>
      <c r="D50" t="s">
        <v>318</v>
      </c>
      <c r="E50" s="56">
        <f t="shared" si="0"/>
        <v>107.48521773364931</v>
      </c>
    </row>
    <row r="51" spans="1:5" x14ac:dyDescent="0.25">
      <c r="A51" s="5">
        <v>1</v>
      </c>
      <c r="B51" s="5">
        <v>2</v>
      </c>
      <c r="C51" s="5">
        <v>4</v>
      </c>
      <c r="D51" t="s">
        <v>318</v>
      </c>
      <c r="E51" s="56">
        <f t="shared" si="0"/>
        <v>140.84243689758426</v>
      </c>
    </row>
    <row r="52" spans="1:5" x14ac:dyDescent="0.25">
      <c r="A52" s="5">
        <v>1</v>
      </c>
      <c r="B52" s="5">
        <v>3</v>
      </c>
      <c r="C52" s="5">
        <v>0</v>
      </c>
      <c r="D52" t="s">
        <v>317</v>
      </c>
      <c r="E52" s="56">
        <f t="shared" si="0"/>
        <v>42.493106058512595</v>
      </c>
    </row>
    <row r="53" spans="1:5" x14ac:dyDescent="0.25">
      <c r="A53" s="5">
        <v>1</v>
      </c>
      <c r="B53" s="5">
        <v>3</v>
      </c>
      <c r="C53" s="5">
        <v>1</v>
      </c>
      <c r="D53" t="s">
        <v>318</v>
      </c>
      <c r="E53" s="56">
        <f t="shared" si="0"/>
        <v>54.671967794291071</v>
      </c>
    </row>
    <row r="54" spans="1:5" x14ac:dyDescent="0.25">
      <c r="A54" s="5">
        <v>1</v>
      </c>
      <c r="B54" s="5">
        <v>3</v>
      </c>
      <c r="C54" s="5">
        <v>2</v>
      </c>
      <c r="D54" t="s">
        <v>318</v>
      </c>
      <c r="E54" s="56">
        <f t="shared" si="0"/>
        <v>80.864726936409056</v>
      </c>
    </row>
    <row r="55" spans="1:5" x14ac:dyDescent="0.25">
      <c r="A55" s="5">
        <v>1</v>
      </c>
      <c r="B55" s="5">
        <v>3</v>
      </c>
      <c r="C55" s="5">
        <v>3</v>
      </c>
      <c r="D55" t="s">
        <v>318</v>
      </c>
      <c r="E55" s="56">
        <f t="shared" si="0"/>
        <v>111.60602162293934</v>
      </c>
    </row>
    <row r="56" spans="1:5" x14ac:dyDescent="0.25">
      <c r="A56" s="5">
        <v>1</v>
      </c>
      <c r="B56" s="5">
        <v>3</v>
      </c>
      <c r="C56" s="5">
        <v>4</v>
      </c>
      <c r="D56" t="s">
        <v>318</v>
      </c>
      <c r="E56" s="56">
        <f t="shared" si="0"/>
        <v>144.01188861514177</v>
      </c>
    </row>
    <row r="57" spans="1:5" x14ac:dyDescent="0.25">
      <c r="A57" s="5">
        <v>1</v>
      </c>
      <c r="B57" s="5">
        <v>4</v>
      </c>
      <c r="C57" s="5">
        <v>0</v>
      </c>
      <c r="D57" t="s">
        <v>317</v>
      </c>
      <c r="E57" s="56">
        <f t="shared" si="0"/>
        <v>55.404231844237316</v>
      </c>
    </row>
    <row r="58" spans="1:5" x14ac:dyDescent="0.25">
      <c r="A58" s="5">
        <v>1</v>
      </c>
      <c r="B58" s="5">
        <v>4</v>
      </c>
      <c r="C58" s="5">
        <v>1</v>
      </c>
      <c r="D58" t="s">
        <v>318</v>
      </c>
      <c r="E58" s="56">
        <f t="shared" si="0"/>
        <v>65.214943887501732</v>
      </c>
    </row>
    <row r="59" spans="1:5" x14ac:dyDescent="0.25">
      <c r="A59" s="5">
        <v>1</v>
      </c>
      <c r="B59" s="5">
        <v>4</v>
      </c>
      <c r="C59" s="5">
        <v>2</v>
      </c>
      <c r="D59" t="s">
        <v>318</v>
      </c>
      <c r="E59" s="56">
        <f t="shared" si="0"/>
        <v>88.334981214975087</v>
      </c>
    </row>
    <row r="60" spans="1:5" x14ac:dyDescent="0.25">
      <c r="A60" s="5">
        <v>1</v>
      </c>
      <c r="B60" s="5">
        <v>4</v>
      </c>
      <c r="C60" s="5">
        <v>3</v>
      </c>
      <c r="D60" t="s">
        <v>318</v>
      </c>
      <c r="E60" s="56">
        <f t="shared" si="0"/>
        <v>117.13184411700347</v>
      </c>
    </row>
    <row r="61" spans="1:5" x14ac:dyDescent="0.25">
      <c r="A61" s="5">
        <v>1</v>
      </c>
      <c r="B61" s="5">
        <v>4</v>
      </c>
      <c r="C61" s="5">
        <v>4</v>
      </c>
      <c r="D61" t="s">
        <v>318</v>
      </c>
      <c r="E61" s="56">
        <f t="shared" si="0"/>
        <v>148.33539330264372</v>
      </c>
    </row>
    <row r="62" spans="1:5" x14ac:dyDescent="0.25">
      <c r="A62" s="5">
        <v>2</v>
      </c>
      <c r="B62" s="5">
        <v>0</v>
      </c>
      <c r="C62" s="5">
        <v>0</v>
      </c>
      <c r="D62" t="s">
        <v>316</v>
      </c>
      <c r="E62" s="56">
        <f t="shared" si="0"/>
        <v>26.875</v>
      </c>
    </row>
    <row r="63" spans="1:5" x14ac:dyDescent="0.25">
      <c r="A63" s="5">
        <v>2</v>
      </c>
      <c r="B63" s="5">
        <v>0</v>
      </c>
      <c r="C63" s="5">
        <v>1</v>
      </c>
      <c r="D63" t="s">
        <v>317</v>
      </c>
      <c r="E63" s="56">
        <f t="shared" si="0"/>
        <v>43.653472084130946</v>
      </c>
    </row>
    <row r="64" spans="1:5" x14ac:dyDescent="0.25">
      <c r="A64" s="5">
        <v>2</v>
      </c>
      <c r="B64" s="5">
        <v>0</v>
      </c>
      <c r="C64" s="5">
        <v>2</v>
      </c>
      <c r="D64" t="s">
        <v>317</v>
      </c>
      <c r="E64" s="56">
        <f t="shared" si="0"/>
        <v>73.862748561098101</v>
      </c>
    </row>
    <row r="65" spans="1:5" x14ac:dyDescent="0.25">
      <c r="A65" s="5">
        <v>2</v>
      </c>
      <c r="B65" s="5">
        <v>0</v>
      </c>
      <c r="C65" s="5">
        <v>3</v>
      </c>
      <c r="D65" t="s">
        <v>317</v>
      </c>
      <c r="E65" s="56">
        <f t="shared" si="0"/>
        <v>106.6419505869993</v>
      </c>
    </row>
    <row r="66" spans="1:5" x14ac:dyDescent="0.25">
      <c r="A66" s="5">
        <v>2</v>
      </c>
      <c r="B66" s="5">
        <v>0</v>
      </c>
      <c r="C66" s="5">
        <v>4</v>
      </c>
      <c r="D66" t="s">
        <v>317</v>
      </c>
      <c r="E66" s="56">
        <f t="shared" si="0"/>
        <v>140.19994873394214</v>
      </c>
    </row>
    <row r="67" spans="1:5" x14ac:dyDescent="0.25">
      <c r="A67" s="5">
        <v>2</v>
      </c>
      <c r="B67" s="5">
        <v>1</v>
      </c>
      <c r="C67" s="5">
        <v>0</v>
      </c>
      <c r="D67" t="s">
        <v>317</v>
      </c>
      <c r="E67" s="56">
        <f t="shared" si="0"/>
        <v>30.047163447653425</v>
      </c>
    </row>
    <row r="68" spans="1:5" x14ac:dyDescent="0.25">
      <c r="A68" s="5">
        <v>2</v>
      </c>
      <c r="B68" s="5">
        <v>1</v>
      </c>
      <c r="C68" s="5">
        <v>1</v>
      </c>
      <c r="D68" t="s">
        <v>318</v>
      </c>
      <c r="E68" s="56">
        <f t="shared" si="0"/>
        <v>45.674851190233781</v>
      </c>
    </row>
    <row r="69" spans="1:5" x14ac:dyDescent="0.25">
      <c r="A69" s="5">
        <v>2</v>
      </c>
      <c r="B69" s="5">
        <v>1</v>
      </c>
      <c r="C69" s="5">
        <v>2</v>
      </c>
      <c r="D69" t="s">
        <v>318</v>
      </c>
      <c r="E69" s="56">
        <f t="shared" si="0"/>
        <v>75.07510926565476</v>
      </c>
    </row>
    <row r="70" spans="1:5" x14ac:dyDescent="0.25">
      <c r="A70" s="5">
        <v>2</v>
      </c>
      <c r="B70" s="5">
        <v>1</v>
      </c>
      <c r="C70" s="5">
        <v>3</v>
      </c>
      <c r="D70" t="s">
        <v>318</v>
      </c>
      <c r="E70" s="56">
        <f t="shared" si="0"/>
        <v>107.48521773364931</v>
      </c>
    </row>
    <row r="71" spans="1:5" x14ac:dyDescent="0.25">
      <c r="A71" s="5">
        <v>2</v>
      </c>
      <c r="B71" s="5">
        <v>1</v>
      </c>
      <c r="C71" s="5">
        <v>4</v>
      </c>
      <c r="D71" t="s">
        <v>318</v>
      </c>
      <c r="E71" s="56">
        <f t="shared" si="0"/>
        <v>140.84243689758426</v>
      </c>
    </row>
    <row r="72" spans="1:5" x14ac:dyDescent="0.25">
      <c r="A72" s="5">
        <v>2</v>
      </c>
      <c r="B72" s="5">
        <v>2</v>
      </c>
      <c r="C72" s="5">
        <v>0</v>
      </c>
      <c r="D72" t="s">
        <v>317</v>
      </c>
      <c r="E72" s="56">
        <f t="shared" si="0"/>
        <v>38.006989488776931</v>
      </c>
    </row>
    <row r="73" spans="1:5" x14ac:dyDescent="0.25">
      <c r="A73" s="5">
        <v>2</v>
      </c>
      <c r="B73" s="5">
        <v>2</v>
      </c>
      <c r="C73" s="5">
        <v>1</v>
      </c>
      <c r="D73" t="s">
        <v>318</v>
      </c>
      <c r="E73" s="56">
        <f t="shared" si="0"/>
        <v>51.262961775535366</v>
      </c>
    </row>
    <row r="74" spans="1:5" x14ac:dyDescent="0.25">
      <c r="A74" s="5">
        <v>2</v>
      </c>
      <c r="B74" s="5">
        <v>2</v>
      </c>
      <c r="C74" s="5">
        <v>2</v>
      </c>
      <c r="D74" t="s">
        <v>318</v>
      </c>
      <c r="E74" s="56">
        <f t="shared" si="0"/>
        <v>78.600071564852925</v>
      </c>
    </row>
    <row r="75" spans="1:5" x14ac:dyDescent="0.25">
      <c r="A75" s="5">
        <v>2</v>
      </c>
      <c r="B75" s="5">
        <v>2</v>
      </c>
      <c r="C75" s="5">
        <v>3</v>
      </c>
      <c r="D75" t="s">
        <v>318</v>
      </c>
      <c r="E75" s="56">
        <f t="shared" si="0"/>
        <v>109.97623038638849</v>
      </c>
    </row>
    <row r="76" spans="1:5" x14ac:dyDescent="0.25">
      <c r="A76" s="5">
        <v>2</v>
      </c>
      <c r="B76" s="5">
        <v>2</v>
      </c>
      <c r="C76" s="5">
        <v>4</v>
      </c>
      <c r="D76" t="s">
        <v>318</v>
      </c>
      <c r="E76" s="56">
        <f t="shared" si="0"/>
        <v>142.75255251658376</v>
      </c>
    </row>
    <row r="77" spans="1:5" x14ac:dyDescent="0.25">
      <c r="A77" s="5">
        <v>2</v>
      </c>
      <c r="B77" s="5">
        <v>3</v>
      </c>
      <c r="C77" s="5">
        <v>0</v>
      </c>
      <c r="D77" t="s">
        <v>317</v>
      </c>
      <c r="E77" s="56">
        <f t="shared" si="0"/>
        <v>48.449595264047353</v>
      </c>
    </row>
    <row r="78" spans="1:5" x14ac:dyDescent="0.25">
      <c r="A78" s="5">
        <v>2</v>
      </c>
      <c r="B78" s="5">
        <v>3</v>
      </c>
      <c r="C78" s="5">
        <v>1</v>
      </c>
      <c r="D78" t="s">
        <v>318</v>
      </c>
      <c r="E78" s="56">
        <f t="shared" ref="E78:E136" si="1">($A$2/2)*SQRT(((A78/$A$3)^2)+((B78/$A$4)^2)+((C78/$A$5)^2))</f>
        <v>59.419889609877266</v>
      </c>
    </row>
    <row r="79" spans="1:5" x14ac:dyDescent="0.25">
      <c r="A79" s="5">
        <v>2</v>
      </c>
      <c r="B79" s="5">
        <v>3</v>
      </c>
      <c r="C79" s="5">
        <v>2</v>
      </c>
      <c r="D79" t="s">
        <v>318</v>
      </c>
      <c r="E79" s="56">
        <f t="shared" si="1"/>
        <v>84.147509061468966</v>
      </c>
    </row>
    <row r="80" spans="1:5" x14ac:dyDescent="0.25">
      <c r="A80" s="5">
        <v>2</v>
      </c>
      <c r="B80" s="5">
        <v>3</v>
      </c>
      <c r="C80" s="5">
        <v>3</v>
      </c>
      <c r="D80" t="s">
        <v>318</v>
      </c>
      <c r="E80" s="56">
        <f t="shared" si="1"/>
        <v>114.0070317184427</v>
      </c>
    </row>
    <row r="81" spans="1:5" x14ac:dyDescent="0.25">
      <c r="A81" s="5">
        <v>2</v>
      </c>
      <c r="B81" s="5">
        <v>3</v>
      </c>
      <c r="C81" s="5">
        <v>4</v>
      </c>
      <c r="D81" t="s">
        <v>318</v>
      </c>
      <c r="E81" s="56">
        <f t="shared" si="1"/>
        <v>145.88051028581577</v>
      </c>
    </row>
    <row r="82" spans="1:5" x14ac:dyDescent="0.25">
      <c r="A82" s="5">
        <v>2</v>
      </c>
      <c r="B82" s="5">
        <v>4</v>
      </c>
      <c r="C82" s="5">
        <v>0</v>
      </c>
      <c r="D82" t="s">
        <v>317</v>
      </c>
      <c r="E82" s="56">
        <f t="shared" si="1"/>
        <v>60.09432689530685</v>
      </c>
    </row>
    <row r="83" spans="1:5" x14ac:dyDescent="0.25">
      <c r="A83" s="5">
        <v>2</v>
      </c>
      <c r="B83" s="5">
        <v>4</v>
      </c>
      <c r="C83" s="5">
        <v>1</v>
      </c>
      <c r="D83" t="s">
        <v>318</v>
      </c>
      <c r="E83" s="56">
        <f t="shared" si="1"/>
        <v>69.243686535308044</v>
      </c>
    </row>
    <row r="84" spans="1:5" x14ac:dyDescent="0.25">
      <c r="A84" s="5">
        <v>2</v>
      </c>
      <c r="B84" s="5">
        <v>4</v>
      </c>
      <c r="C84" s="5">
        <v>2</v>
      </c>
      <c r="D84" t="s">
        <v>318</v>
      </c>
      <c r="E84" s="56">
        <f t="shared" si="1"/>
        <v>91.349702380467562</v>
      </c>
    </row>
    <row r="85" spans="1:5" x14ac:dyDescent="0.25">
      <c r="A85" s="5">
        <v>2</v>
      </c>
      <c r="B85" s="5">
        <v>4</v>
      </c>
      <c r="C85" s="5">
        <v>3</v>
      </c>
      <c r="D85" t="s">
        <v>318</v>
      </c>
      <c r="E85" s="56">
        <f t="shared" si="1"/>
        <v>119.42180757717578</v>
      </c>
    </row>
    <row r="86" spans="1:5" x14ac:dyDescent="0.25">
      <c r="A86" s="5">
        <v>2</v>
      </c>
      <c r="B86" s="5">
        <v>4</v>
      </c>
      <c r="C86" s="5">
        <v>4</v>
      </c>
      <c r="D86" t="s">
        <v>318</v>
      </c>
      <c r="E86" s="56">
        <f t="shared" si="1"/>
        <v>150.15021853130952</v>
      </c>
    </row>
    <row r="87" spans="1:5" x14ac:dyDescent="0.25">
      <c r="A87" s="5">
        <v>3</v>
      </c>
      <c r="B87" s="5">
        <v>0</v>
      </c>
      <c r="C87" s="5">
        <v>0</v>
      </c>
      <c r="D87" t="s">
        <v>316</v>
      </c>
      <c r="E87" s="56">
        <f t="shared" si="1"/>
        <v>40.3125</v>
      </c>
    </row>
    <row r="88" spans="1:5" x14ac:dyDescent="0.25">
      <c r="A88" s="5">
        <v>3</v>
      </c>
      <c r="B88" s="5">
        <v>0</v>
      </c>
      <c r="C88" s="5">
        <v>1</v>
      </c>
      <c r="D88" t="s">
        <v>318</v>
      </c>
      <c r="E88" s="56">
        <f t="shared" si="1"/>
        <v>52.994883302541581</v>
      </c>
    </row>
    <row r="89" spans="1:5" x14ac:dyDescent="0.25">
      <c r="A89" s="5">
        <v>3</v>
      </c>
      <c r="B89" s="5">
        <v>0</v>
      </c>
      <c r="C89" s="5">
        <v>2</v>
      </c>
      <c r="D89" t="s">
        <v>318</v>
      </c>
      <c r="E89" s="56">
        <f t="shared" si="1"/>
        <v>79.740439278010001</v>
      </c>
    </row>
    <row r="90" spans="1:5" x14ac:dyDescent="0.25">
      <c r="A90" s="5">
        <v>3</v>
      </c>
      <c r="B90" s="5">
        <v>0</v>
      </c>
      <c r="C90" s="5">
        <v>3</v>
      </c>
      <c r="D90" t="s">
        <v>318</v>
      </c>
      <c r="E90" s="56">
        <f t="shared" si="1"/>
        <v>110.79412284164717</v>
      </c>
    </row>
    <row r="91" spans="1:5" x14ac:dyDescent="0.25">
      <c r="A91" s="5">
        <v>3</v>
      </c>
      <c r="B91" s="5">
        <v>0</v>
      </c>
      <c r="C91" s="5">
        <v>4</v>
      </c>
      <c r="D91" t="s">
        <v>318</v>
      </c>
      <c r="E91" s="56">
        <f t="shared" si="1"/>
        <v>143.38360316385553</v>
      </c>
    </row>
    <row r="92" spans="1:5" x14ac:dyDescent="0.25">
      <c r="A92" s="5">
        <v>3</v>
      </c>
      <c r="B92" s="5">
        <v>1</v>
      </c>
      <c r="C92" s="5">
        <v>0</v>
      </c>
      <c r="D92" t="s">
        <v>317</v>
      </c>
      <c r="E92" s="56">
        <f t="shared" si="1"/>
        <v>42.493106058512595</v>
      </c>
    </row>
    <row r="93" spans="1:5" x14ac:dyDescent="0.25">
      <c r="A93" s="5">
        <v>3</v>
      </c>
      <c r="B93" s="5">
        <v>1</v>
      </c>
      <c r="C93" s="5">
        <v>1</v>
      </c>
      <c r="D93" t="s">
        <v>318</v>
      </c>
      <c r="E93" s="56">
        <f t="shared" si="1"/>
        <v>54.671967794291071</v>
      </c>
    </row>
    <row r="94" spans="1:5" x14ac:dyDescent="0.25">
      <c r="A94" s="5">
        <v>3</v>
      </c>
      <c r="B94" s="5">
        <v>1</v>
      </c>
      <c r="C94" s="5">
        <v>2</v>
      </c>
      <c r="D94" t="s">
        <v>318</v>
      </c>
      <c r="E94" s="56">
        <f t="shared" si="1"/>
        <v>80.864726936409056</v>
      </c>
    </row>
    <row r="95" spans="1:5" x14ac:dyDescent="0.25">
      <c r="A95" s="5">
        <v>3</v>
      </c>
      <c r="B95" s="5">
        <v>1</v>
      </c>
      <c r="C95" s="5">
        <v>3</v>
      </c>
      <c r="D95" t="s">
        <v>318</v>
      </c>
      <c r="E95" s="56">
        <f t="shared" si="1"/>
        <v>111.60602162293934</v>
      </c>
    </row>
    <row r="96" spans="1:5" x14ac:dyDescent="0.25">
      <c r="A96" s="5">
        <v>3</v>
      </c>
      <c r="B96" s="5">
        <v>1</v>
      </c>
      <c r="C96" s="5">
        <v>4</v>
      </c>
      <c r="D96" t="s">
        <v>318</v>
      </c>
      <c r="E96" s="56">
        <f t="shared" si="1"/>
        <v>144.01188861514177</v>
      </c>
    </row>
    <row r="97" spans="1:5" x14ac:dyDescent="0.25">
      <c r="A97" s="5">
        <v>3</v>
      </c>
      <c r="B97" s="5">
        <v>2</v>
      </c>
      <c r="C97" s="5">
        <v>0</v>
      </c>
      <c r="D97" t="s">
        <v>317</v>
      </c>
      <c r="E97" s="56">
        <f t="shared" si="1"/>
        <v>48.449595264047353</v>
      </c>
    </row>
    <row r="98" spans="1:5" x14ac:dyDescent="0.25">
      <c r="A98" s="5">
        <v>3</v>
      </c>
      <c r="B98" s="5">
        <v>2</v>
      </c>
      <c r="C98" s="5">
        <v>1</v>
      </c>
      <c r="D98" t="s">
        <v>318</v>
      </c>
      <c r="E98" s="56">
        <f t="shared" si="1"/>
        <v>59.419889609877266</v>
      </c>
    </row>
    <row r="99" spans="1:5" x14ac:dyDescent="0.25">
      <c r="A99" s="5">
        <v>3</v>
      </c>
      <c r="B99" s="5">
        <v>2</v>
      </c>
      <c r="C99" s="5">
        <v>2</v>
      </c>
      <c r="D99" t="s">
        <v>318</v>
      </c>
      <c r="E99" s="56">
        <f t="shared" si="1"/>
        <v>84.147509061468966</v>
      </c>
    </row>
    <row r="100" spans="1:5" x14ac:dyDescent="0.25">
      <c r="A100" s="5">
        <v>3</v>
      </c>
      <c r="B100" s="5">
        <v>2</v>
      </c>
      <c r="C100" s="5">
        <v>3</v>
      </c>
      <c r="D100" t="s">
        <v>318</v>
      </c>
      <c r="E100" s="56">
        <f t="shared" si="1"/>
        <v>114.0070317184427</v>
      </c>
    </row>
    <row r="101" spans="1:5" x14ac:dyDescent="0.25">
      <c r="A101" s="5">
        <v>3</v>
      </c>
      <c r="B101" s="5">
        <v>2</v>
      </c>
      <c r="C101" s="5">
        <v>4</v>
      </c>
      <c r="D101" t="s">
        <v>318</v>
      </c>
      <c r="E101" s="56">
        <f t="shared" si="1"/>
        <v>145.88051028581577</v>
      </c>
    </row>
    <row r="102" spans="1:5" x14ac:dyDescent="0.25">
      <c r="A102" s="5">
        <v>3</v>
      </c>
      <c r="B102" s="5">
        <v>3</v>
      </c>
      <c r="C102" s="5">
        <v>0</v>
      </c>
      <c r="D102" t="s">
        <v>317</v>
      </c>
      <c r="E102" s="56">
        <f t="shared" si="1"/>
        <v>57.0104842331654</v>
      </c>
    </row>
    <row r="103" spans="1:5" x14ac:dyDescent="0.25">
      <c r="A103" s="5">
        <v>3</v>
      </c>
      <c r="B103" s="5">
        <v>3</v>
      </c>
      <c r="C103" s="5">
        <v>1</v>
      </c>
      <c r="D103" t="s">
        <v>318</v>
      </c>
      <c r="E103" s="56">
        <f t="shared" si="1"/>
        <v>66.584948092643273</v>
      </c>
    </row>
    <row r="104" spans="1:5" x14ac:dyDescent="0.25">
      <c r="A104" s="5">
        <v>3</v>
      </c>
      <c r="B104" s="5">
        <v>3</v>
      </c>
      <c r="C104" s="5">
        <v>2</v>
      </c>
      <c r="D104" t="s">
        <v>318</v>
      </c>
      <c r="E104" s="56">
        <f t="shared" si="1"/>
        <v>89.351190884621118</v>
      </c>
    </row>
    <row r="105" spans="1:5" x14ac:dyDescent="0.25">
      <c r="A105" s="5">
        <v>3</v>
      </c>
      <c r="B105" s="5">
        <v>3</v>
      </c>
      <c r="C105" s="5">
        <v>3</v>
      </c>
      <c r="D105" t="s">
        <v>318</v>
      </c>
      <c r="E105" s="56">
        <f t="shared" si="1"/>
        <v>117.90010734727937</v>
      </c>
    </row>
    <row r="106" spans="1:5" x14ac:dyDescent="0.25">
      <c r="A106" s="5">
        <v>3</v>
      </c>
      <c r="B106" s="5">
        <v>3</v>
      </c>
      <c r="C106" s="5">
        <v>4</v>
      </c>
      <c r="D106" t="s">
        <v>318</v>
      </c>
      <c r="E106" s="56">
        <f t="shared" si="1"/>
        <v>148.94279207971096</v>
      </c>
    </row>
    <row r="107" spans="1:5" x14ac:dyDescent="0.25">
      <c r="A107" s="5">
        <v>3</v>
      </c>
      <c r="B107" s="5">
        <v>4</v>
      </c>
      <c r="C107" s="5">
        <v>0</v>
      </c>
      <c r="D107" t="s">
        <v>317</v>
      </c>
      <c r="E107" s="56">
        <f t="shared" si="1"/>
        <v>67.1875</v>
      </c>
    </row>
    <row r="108" spans="1:5" x14ac:dyDescent="0.25">
      <c r="A108" s="5">
        <v>3</v>
      </c>
      <c r="B108" s="5">
        <v>4</v>
      </c>
      <c r="C108" s="5">
        <v>1</v>
      </c>
      <c r="D108" t="s">
        <v>318</v>
      </c>
      <c r="E108" s="56">
        <f t="shared" si="1"/>
        <v>75.481919399615165</v>
      </c>
    </row>
    <row r="109" spans="1:5" x14ac:dyDescent="0.25">
      <c r="A109" s="5">
        <v>3</v>
      </c>
      <c r="B109" s="5">
        <v>4</v>
      </c>
      <c r="C109" s="5">
        <v>2</v>
      </c>
      <c r="D109" t="s">
        <v>318</v>
      </c>
      <c r="E109" s="56">
        <f t="shared" si="1"/>
        <v>96.164443305465042</v>
      </c>
    </row>
    <row r="110" spans="1:5" x14ac:dyDescent="0.25">
      <c r="A110" s="5">
        <v>3</v>
      </c>
      <c r="B110" s="5">
        <v>4</v>
      </c>
      <c r="C110" s="5">
        <v>3</v>
      </c>
      <c r="D110" t="s">
        <v>318</v>
      </c>
      <c r="E110" s="56">
        <f t="shared" si="1"/>
        <v>123.14381899328119</v>
      </c>
    </row>
    <row r="111" spans="1:5" x14ac:dyDescent="0.25">
      <c r="A111" s="5">
        <v>3</v>
      </c>
      <c r="B111" s="5">
        <v>4</v>
      </c>
      <c r="C111" s="5">
        <v>4</v>
      </c>
      <c r="D111" t="s">
        <v>318</v>
      </c>
      <c r="E111" s="56">
        <f t="shared" si="1"/>
        <v>153.12713722998288</v>
      </c>
    </row>
    <row r="112" spans="1:5" x14ac:dyDescent="0.25">
      <c r="A112" s="57">
        <v>4</v>
      </c>
      <c r="B112" s="5">
        <v>0</v>
      </c>
      <c r="C112" s="5">
        <v>0</v>
      </c>
      <c r="D112" t="s">
        <v>316</v>
      </c>
      <c r="E112" s="56">
        <f t="shared" si="1"/>
        <v>53.75</v>
      </c>
    </row>
    <row r="113" spans="1:5" x14ac:dyDescent="0.25">
      <c r="A113" s="57">
        <v>4</v>
      </c>
      <c r="B113" s="5">
        <v>0</v>
      </c>
      <c r="C113" s="5">
        <v>1</v>
      </c>
      <c r="D113" t="s">
        <v>318</v>
      </c>
      <c r="E113" s="56">
        <f t="shared" si="1"/>
        <v>63.815534942520074</v>
      </c>
    </row>
    <row r="114" spans="1:5" x14ac:dyDescent="0.25">
      <c r="A114" s="57">
        <v>4</v>
      </c>
      <c r="B114" s="5">
        <v>0</v>
      </c>
      <c r="C114" s="5">
        <v>2</v>
      </c>
      <c r="D114" t="s">
        <v>318</v>
      </c>
      <c r="E114" s="56">
        <f t="shared" si="1"/>
        <v>87.306944168261893</v>
      </c>
    </row>
    <row r="115" spans="1:5" x14ac:dyDescent="0.25">
      <c r="A115" s="57">
        <v>4</v>
      </c>
      <c r="B115" s="5">
        <v>0</v>
      </c>
      <c r="C115" s="5">
        <v>3</v>
      </c>
      <c r="D115" t="s">
        <v>318</v>
      </c>
      <c r="E115" s="56">
        <f t="shared" si="1"/>
        <v>116.35850849851936</v>
      </c>
    </row>
    <row r="116" spans="1:5" x14ac:dyDescent="0.25">
      <c r="A116" s="57">
        <v>4</v>
      </c>
      <c r="B116" s="5">
        <v>0</v>
      </c>
      <c r="C116" s="5">
        <v>4</v>
      </c>
      <c r="D116" t="s">
        <v>318</v>
      </c>
      <c r="E116" s="56">
        <f t="shared" si="1"/>
        <v>147.7254971221962</v>
      </c>
    </row>
    <row r="117" spans="1:5" x14ac:dyDescent="0.25">
      <c r="A117" s="57">
        <v>4</v>
      </c>
      <c r="B117" s="5">
        <v>1</v>
      </c>
      <c r="C117" s="5">
        <v>0</v>
      </c>
      <c r="D117" t="s">
        <v>317</v>
      </c>
      <c r="E117" s="56">
        <f t="shared" si="1"/>
        <v>55.404231844237316</v>
      </c>
    </row>
    <row r="118" spans="1:5" x14ac:dyDescent="0.25">
      <c r="A118" s="57">
        <v>4</v>
      </c>
      <c r="B118" s="5">
        <v>1</v>
      </c>
      <c r="C118" s="5">
        <v>1</v>
      </c>
      <c r="D118" t="s">
        <v>318</v>
      </c>
      <c r="E118" s="56">
        <f t="shared" si="1"/>
        <v>65.214943887501732</v>
      </c>
    </row>
    <row r="119" spans="1:5" x14ac:dyDescent="0.25">
      <c r="A119" s="57">
        <v>4</v>
      </c>
      <c r="B119" s="5">
        <v>1</v>
      </c>
      <c r="C119" s="5">
        <v>2</v>
      </c>
      <c r="D119" t="s">
        <v>318</v>
      </c>
      <c r="E119" s="56">
        <f t="shared" si="1"/>
        <v>88.334981214975087</v>
      </c>
    </row>
    <row r="120" spans="1:5" x14ac:dyDescent="0.25">
      <c r="A120" s="57">
        <v>4</v>
      </c>
      <c r="B120" s="5">
        <v>1</v>
      </c>
      <c r="C120" s="5">
        <v>3</v>
      </c>
      <c r="D120" t="s">
        <v>318</v>
      </c>
      <c r="E120" s="56">
        <f t="shared" si="1"/>
        <v>117.13184411700347</v>
      </c>
    </row>
    <row r="121" spans="1:5" x14ac:dyDescent="0.25">
      <c r="A121" s="57">
        <v>4</v>
      </c>
      <c r="B121" s="5">
        <v>1</v>
      </c>
      <c r="C121" s="5">
        <v>4</v>
      </c>
      <c r="D121" t="s">
        <v>318</v>
      </c>
      <c r="E121" s="56">
        <f t="shared" si="1"/>
        <v>148.33539330264372</v>
      </c>
    </row>
    <row r="122" spans="1:5" x14ac:dyDescent="0.25">
      <c r="A122" s="57">
        <v>4</v>
      </c>
      <c r="B122" s="5">
        <v>2</v>
      </c>
      <c r="C122" s="5">
        <v>0</v>
      </c>
      <c r="D122" t="s">
        <v>317</v>
      </c>
      <c r="E122" s="56">
        <f t="shared" si="1"/>
        <v>60.09432689530685</v>
      </c>
    </row>
    <row r="123" spans="1:5" x14ac:dyDescent="0.25">
      <c r="A123" s="57">
        <v>4</v>
      </c>
      <c r="B123" s="5">
        <v>2</v>
      </c>
      <c r="C123" s="5">
        <v>1</v>
      </c>
      <c r="D123" t="s">
        <v>318</v>
      </c>
      <c r="E123" s="56">
        <f t="shared" si="1"/>
        <v>69.243686535308044</v>
      </c>
    </row>
    <row r="124" spans="1:5" x14ac:dyDescent="0.25">
      <c r="A124" s="57">
        <v>4</v>
      </c>
      <c r="B124" s="5">
        <v>2</v>
      </c>
      <c r="C124" s="5">
        <v>2</v>
      </c>
      <c r="D124" t="s">
        <v>318</v>
      </c>
      <c r="E124" s="56">
        <f t="shared" si="1"/>
        <v>91.349702380467562</v>
      </c>
    </row>
    <row r="125" spans="1:5" x14ac:dyDescent="0.25">
      <c r="A125" s="57">
        <v>4</v>
      </c>
      <c r="B125" s="5">
        <v>2</v>
      </c>
      <c r="C125" s="5">
        <v>3</v>
      </c>
      <c r="D125" t="s">
        <v>318</v>
      </c>
      <c r="E125" s="56">
        <f t="shared" si="1"/>
        <v>119.42180757717578</v>
      </c>
    </row>
    <row r="126" spans="1:5" x14ac:dyDescent="0.25">
      <c r="A126" s="57">
        <v>4</v>
      </c>
      <c r="B126" s="5">
        <v>2</v>
      </c>
      <c r="C126" s="5">
        <v>4</v>
      </c>
      <c r="D126" t="s">
        <v>318</v>
      </c>
      <c r="E126" s="56">
        <f t="shared" si="1"/>
        <v>150.15021853130952</v>
      </c>
    </row>
    <row r="127" spans="1:5" x14ac:dyDescent="0.25">
      <c r="A127" s="57">
        <v>4</v>
      </c>
      <c r="B127" s="5">
        <v>3</v>
      </c>
      <c r="C127" s="5">
        <v>0</v>
      </c>
      <c r="D127" t="s">
        <v>317</v>
      </c>
      <c r="E127" s="56">
        <f t="shared" si="1"/>
        <v>67.1875</v>
      </c>
    </row>
    <row r="128" spans="1:5" x14ac:dyDescent="0.25">
      <c r="A128" s="57">
        <v>4</v>
      </c>
      <c r="B128" s="5">
        <v>3</v>
      </c>
      <c r="C128" s="5">
        <v>1</v>
      </c>
      <c r="D128" t="s">
        <v>318</v>
      </c>
      <c r="E128" s="56">
        <f t="shared" si="1"/>
        <v>75.481919399615165</v>
      </c>
    </row>
    <row r="129" spans="1:5" x14ac:dyDescent="0.25">
      <c r="A129" s="57">
        <v>4</v>
      </c>
      <c r="B129" s="5">
        <v>3</v>
      </c>
      <c r="C129" s="5">
        <v>2</v>
      </c>
      <c r="D129" t="s">
        <v>318</v>
      </c>
      <c r="E129" s="56">
        <f t="shared" si="1"/>
        <v>96.164443305465042</v>
      </c>
    </row>
    <row r="130" spans="1:5" x14ac:dyDescent="0.25">
      <c r="A130" s="57">
        <v>4</v>
      </c>
      <c r="B130" s="5">
        <v>3</v>
      </c>
      <c r="C130" s="5">
        <v>3</v>
      </c>
      <c r="D130" t="s">
        <v>318</v>
      </c>
      <c r="E130" s="56">
        <f t="shared" si="1"/>
        <v>123.14381899328119</v>
      </c>
    </row>
    <row r="131" spans="1:5" x14ac:dyDescent="0.25">
      <c r="A131" s="57">
        <v>4</v>
      </c>
      <c r="B131" s="5">
        <v>3</v>
      </c>
      <c r="C131" s="5">
        <v>4</v>
      </c>
      <c r="D131" t="s">
        <v>318</v>
      </c>
      <c r="E131" s="56">
        <f t="shared" si="1"/>
        <v>153.12713722998288</v>
      </c>
    </row>
    <row r="132" spans="1:5" x14ac:dyDescent="0.25">
      <c r="A132" s="57">
        <v>4</v>
      </c>
      <c r="B132" s="5">
        <v>4</v>
      </c>
      <c r="C132" s="5">
        <v>0</v>
      </c>
      <c r="D132" t="s">
        <v>317</v>
      </c>
      <c r="E132" s="56">
        <f t="shared" si="1"/>
        <v>76.013978977553862</v>
      </c>
    </row>
    <row r="133" spans="1:5" x14ac:dyDescent="0.25">
      <c r="A133" s="57">
        <v>4</v>
      </c>
      <c r="B133" s="5">
        <v>4</v>
      </c>
      <c r="C133" s="5">
        <v>1</v>
      </c>
      <c r="D133" t="s">
        <v>318</v>
      </c>
      <c r="E133" s="56">
        <f t="shared" si="1"/>
        <v>83.435514021308691</v>
      </c>
    </row>
    <row r="134" spans="1:5" x14ac:dyDescent="0.25">
      <c r="A134" s="57">
        <v>4</v>
      </c>
      <c r="B134" s="5">
        <v>4</v>
      </c>
      <c r="C134" s="5">
        <v>2</v>
      </c>
      <c r="D134" t="s">
        <v>318</v>
      </c>
      <c r="E134" s="56">
        <f t="shared" si="1"/>
        <v>102.52592355107073</v>
      </c>
    </row>
    <row r="135" spans="1:5" x14ac:dyDescent="0.25">
      <c r="A135" s="57">
        <v>4</v>
      </c>
      <c r="B135" s="5">
        <v>4</v>
      </c>
      <c r="C135" s="5">
        <v>3</v>
      </c>
      <c r="D135" t="s">
        <v>318</v>
      </c>
      <c r="E135" s="56">
        <f t="shared" si="1"/>
        <v>128.17318362278436</v>
      </c>
    </row>
    <row r="136" spans="1:5" x14ac:dyDescent="0.25">
      <c r="A136" s="57">
        <v>4</v>
      </c>
      <c r="B136" s="5">
        <v>4</v>
      </c>
      <c r="C136" s="5">
        <v>4</v>
      </c>
      <c r="D136" t="s">
        <v>318</v>
      </c>
      <c r="E136" s="56">
        <f t="shared" si="1"/>
        <v>157.20014312970585</v>
      </c>
    </row>
  </sheetData>
  <sheetProtection sheet="1" objects="1" scenarios="1"/>
  <protectedRanges>
    <protectedRange sqref="A2:A5" name="Range1"/>
  </protectedRanges>
  <phoneticPr fontId="3" type="noConversion"/>
  <printOptions horizontalCentered="1"/>
  <pageMargins left="0.25" right="0.25" top="0.5" bottom="0.5" header="0.5" footer="0.5"/>
  <pageSetup scale="69" fitToHeight="2" pageOrder="overThenDown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6"/>
  <sheetViews>
    <sheetView workbookViewId="0">
      <selection activeCell="A3" sqref="A3"/>
    </sheetView>
  </sheetViews>
  <sheetFormatPr defaultRowHeight="12.75" customHeight="1" x14ac:dyDescent="0.25"/>
  <cols>
    <col min="1" max="1" width="9.109375" customWidth="1"/>
    <col min="2" max="2" width="30.33203125" customWidth="1"/>
    <col min="4" max="4" width="24" customWidth="1"/>
    <col min="6" max="6" width="9.109375" style="5" customWidth="1"/>
    <col min="7" max="7" width="37.5546875" style="59" customWidth="1"/>
    <col min="8" max="13" width="7.88671875" style="60" customWidth="1"/>
  </cols>
  <sheetData>
    <row r="1" spans="1:13" ht="12.75" customHeight="1" x14ac:dyDescent="0.25">
      <c r="A1" s="4" t="s">
        <v>325</v>
      </c>
      <c r="C1" s="4"/>
    </row>
    <row r="2" spans="1:13" ht="12.75" customHeight="1" x14ac:dyDescent="0.25">
      <c r="C2" s="4"/>
    </row>
    <row r="3" spans="1:13" ht="12.75" customHeight="1" x14ac:dyDescent="0.25">
      <c r="A3" s="3">
        <v>7.65</v>
      </c>
      <c r="B3" t="s">
        <v>326</v>
      </c>
      <c r="C3" s="4" t="s">
        <v>423</v>
      </c>
    </row>
    <row r="4" spans="1:13" ht="12.75" customHeight="1" x14ac:dyDescent="0.25">
      <c r="A4" s="3">
        <v>9.25</v>
      </c>
      <c r="B4" t="s">
        <v>327</v>
      </c>
      <c r="C4" s="60">
        <f>(55.54*$A$7)/($A$8*$A$6*H114)</f>
        <v>1.9583013502049782</v>
      </c>
      <c r="D4" t="s">
        <v>424</v>
      </c>
      <c r="F4" s="23" t="s">
        <v>378</v>
      </c>
      <c r="G4" s="61" t="s">
        <v>329</v>
      </c>
      <c r="H4" s="62" t="s">
        <v>330</v>
      </c>
      <c r="I4" s="62" t="s">
        <v>331</v>
      </c>
      <c r="J4" s="62" t="s">
        <v>332</v>
      </c>
      <c r="K4" s="62" t="s">
        <v>333</v>
      </c>
      <c r="L4" s="62" t="s">
        <v>334</v>
      </c>
      <c r="M4" s="62" t="s">
        <v>335</v>
      </c>
    </row>
    <row r="5" spans="1:13" ht="12.75" customHeight="1" x14ac:dyDescent="0.25">
      <c r="A5" s="3">
        <v>3.15</v>
      </c>
      <c r="B5" t="s">
        <v>328</v>
      </c>
      <c r="C5" s="60">
        <f>(55.54*$A$7)/($A$8*$A$6*I114)</f>
        <v>3.771790620786287</v>
      </c>
      <c r="D5" t="s">
        <v>425</v>
      </c>
      <c r="G5" s="59" t="s">
        <v>336</v>
      </c>
    </row>
    <row r="6" spans="1:13" ht="12.75" customHeight="1" x14ac:dyDescent="0.25">
      <c r="A6">
        <f>(A3*A4*2)+(A3*A5*2)+(A5*A4*2)</f>
        <v>247.995</v>
      </c>
      <c r="B6" t="s">
        <v>381</v>
      </c>
      <c r="C6" s="60">
        <f>(55.54*$A$7)/(A8*$A$6*J114)</f>
        <v>3.0861061591981604</v>
      </c>
      <c r="D6" t="s">
        <v>426</v>
      </c>
      <c r="F6" s="5">
        <v>1</v>
      </c>
      <c r="G6" s="59" t="s">
        <v>337</v>
      </c>
      <c r="H6" s="60">
        <v>0.02</v>
      </c>
      <c r="I6" s="60">
        <v>0.06</v>
      </c>
      <c r="J6" s="60">
        <v>0.14000000000000001</v>
      </c>
      <c r="K6" s="60">
        <v>0.37</v>
      </c>
      <c r="L6" s="60">
        <v>0.6</v>
      </c>
      <c r="M6" s="60">
        <v>0.65</v>
      </c>
    </row>
    <row r="7" spans="1:13" ht="12.75" customHeight="1" x14ac:dyDescent="0.25">
      <c r="A7">
        <f>A3*A4*A5</f>
        <v>222.90187499999999</v>
      </c>
      <c r="B7" t="s">
        <v>421</v>
      </c>
      <c r="C7" s="60">
        <f>(55.54*$A$7)/($A$8*$A$6*K114)</f>
        <v>2.6113766315916065</v>
      </c>
      <c r="D7" t="s">
        <v>427</v>
      </c>
      <c r="F7" s="5">
        <v>2</v>
      </c>
      <c r="G7" s="59" t="s">
        <v>338</v>
      </c>
      <c r="H7" s="60">
        <v>0.08</v>
      </c>
      <c r="I7" s="60">
        <v>0.24</v>
      </c>
      <c r="J7" s="60">
        <v>0.56999999999999995</v>
      </c>
      <c r="K7" s="60">
        <v>0.69</v>
      </c>
      <c r="L7" s="60">
        <v>0.71</v>
      </c>
      <c r="M7" s="60">
        <v>0.73</v>
      </c>
    </row>
    <row r="8" spans="1:13" ht="12.75" customHeight="1" x14ac:dyDescent="0.25">
      <c r="A8" s="3">
        <v>343</v>
      </c>
      <c r="B8" t="s">
        <v>430</v>
      </c>
      <c r="C8" s="60">
        <f>(55.54*$A$7)/($A$8*$A$6*L114)</f>
        <v>2.0783625293398913</v>
      </c>
      <c r="D8" t="s">
        <v>428</v>
      </c>
      <c r="F8" s="5">
        <v>3</v>
      </c>
      <c r="G8" s="59" t="s">
        <v>339</v>
      </c>
      <c r="H8" s="60">
        <v>0.08</v>
      </c>
      <c r="I8" s="60">
        <v>0.27</v>
      </c>
      <c r="J8" s="60">
        <v>0.39</v>
      </c>
      <c r="K8" s="60">
        <v>0.34</v>
      </c>
      <c r="L8" s="60">
        <v>0.48</v>
      </c>
      <c r="M8" s="60">
        <v>0.63</v>
      </c>
    </row>
    <row r="9" spans="1:13" ht="12.75" customHeight="1" x14ac:dyDescent="0.25">
      <c r="B9" t="s">
        <v>431</v>
      </c>
      <c r="C9" s="60">
        <f>(55.54*$A$7)/($A$8*$A$6*M114)</f>
        <v>2.3145796193986206</v>
      </c>
      <c r="D9" t="s">
        <v>429</v>
      </c>
      <c r="F9" s="5">
        <v>4</v>
      </c>
      <c r="G9" s="59" t="s">
        <v>340</v>
      </c>
      <c r="H9" s="60">
        <v>0.01</v>
      </c>
      <c r="I9" s="60">
        <v>0.05</v>
      </c>
      <c r="J9" s="60">
        <v>0.1</v>
      </c>
      <c r="K9" s="60">
        <v>0.2</v>
      </c>
      <c r="L9" s="60">
        <v>0.45</v>
      </c>
      <c r="M9" s="60">
        <v>0.65</v>
      </c>
    </row>
    <row r="10" spans="1:13" ht="12.75" customHeight="1" x14ac:dyDescent="0.25">
      <c r="F10" s="5">
        <v>5</v>
      </c>
      <c r="G10" s="59" t="s">
        <v>341</v>
      </c>
      <c r="H10" s="60">
        <v>0.15</v>
      </c>
      <c r="I10" s="60">
        <v>0.11</v>
      </c>
      <c r="J10" s="60">
        <v>0.1</v>
      </c>
      <c r="K10" s="60">
        <v>7.0000000000000007E-2</v>
      </c>
      <c r="L10" s="60">
        <v>0.06</v>
      </c>
      <c r="M10" s="60">
        <v>7.0000000000000007E-2</v>
      </c>
    </row>
    <row r="11" spans="1:13" ht="12.75" customHeight="1" x14ac:dyDescent="0.25">
      <c r="A11" s="4" t="s">
        <v>379</v>
      </c>
      <c r="F11" s="5">
        <v>6</v>
      </c>
      <c r="G11" s="59" t="s">
        <v>342</v>
      </c>
      <c r="H11" s="60">
        <v>0.01</v>
      </c>
      <c r="I11" s="60">
        <v>0.01</v>
      </c>
      <c r="J11" s="60">
        <v>1.4999999999999999E-2</v>
      </c>
      <c r="K11" s="60">
        <v>0.02</v>
      </c>
      <c r="L11" s="60">
        <v>0.02</v>
      </c>
      <c r="M11" s="60">
        <v>0.02</v>
      </c>
    </row>
    <row r="12" spans="1:13" ht="12.75" customHeight="1" x14ac:dyDescent="0.25">
      <c r="A12">
        <f>A6</f>
        <v>247.995</v>
      </c>
      <c r="B12" t="s">
        <v>381</v>
      </c>
    </row>
    <row r="13" spans="1:13" ht="12.75" customHeight="1" x14ac:dyDescent="0.25">
      <c r="A13">
        <f>A6-A24-C24-A36-C36-A48-C48</f>
        <v>0</v>
      </c>
      <c r="B13" t="s">
        <v>382</v>
      </c>
    </row>
    <row r="14" spans="1:13" ht="12.75" customHeight="1" x14ac:dyDescent="0.25">
      <c r="F14" s="5">
        <v>7</v>
      </c>
      <c r="G14" s="59" t="s">
        <v>343</v>
      </c>
      <c r="H14" s="60">
        <v>0.02</v>
      </c>
      <c r="I14" s="60">
        <v>0.03</v>
      </c>
      <c r="J14" s="60">
        <v>0.03</v>
      </c>
      <c r="K14" s="60">
        <v>0.03</v>
      </c>
      <c r="L14" s="60">
        <v>0.03</v>
      </c>
      <c r="M14" s="60">
        <v>0.02</v>
      </c>
    </row>
    <row r="15" spans="1:13" ht="12.75" customHeight="1" x14ac:dyDescent="0.25">
      <c r="A15" t="s">
        <v>383</v>
      </c>
      <c r="C15" t="s">
        <v>384</v>
      </c>
      <c r="F15" s="5">
        <v>8</v>
      </c>
      <c r="G15" s="59" t="s">
        <v>344</v>
      </c>
      <c r="H15" s="60">
        <v>0.05</v>
      </c>
      <c r="I15" s="60">
        <v>0.16</v>
      </c>
      <c r="J15" s="60">
        <v>0.44</v>
      </c>
      <c r="K15" s="60">
        <v>0.7</v>
      </c>
      <c r="L15" s="60">
        <v>0.6</v>
      </c>
      <c r="M15" s="60">
        <v>0.4</v>
      </c>
    </row>
    <row r="16" spans="1:13" ht="12.75" customHeight="1" x14ac:dyDescent="0.25">
      <c r="A16" s="3">
        <f>A3*A4</f>
        <v>70.762500000000003</v>
      </c>
      <c r="B16" t="s">
        <v>396</v>
      </c>
      <c r="C16" s="3">
        <v>70.762500000000003</v>
      </c>
      <c r="D16" t="s">
        <v>400</v>
      </c>
      <c r="F16" s="5">
        <v>9</v>
      </c>
      <c r="G16" s="59" t="s">
        <v>345</v>
      </c>
      <c r="H16" s="60">
        <v>0.15</v>
      </c>
      <c r="I16" s="60">
        <v>0.25</v>
      </c>
      <c r="J16" s="60">
        <v>0.5</v>
      </c>
      <c r="K16" s="60">
        <v>0.6</v>
      </c>
      <c r="L16" s="60">
        <v>0.7</v>
      </c>
      <c r="M16" s="60">
        <v>0.8</v>
      </c>
    </row>
    <row r="17" spans="1:13" ht="12.75" customHeight="1" x14ac:dyDescent="0.25">
      <c r="A17" s="3">
        <v>6</v>
      </c>
      <c r="B17" t="s">
        <v>380</v>
      </c>
      <c r="C17" s="3">
        <v>16</v>
      </c>
      <c r="D17" t="s">
        <v>380</v>
      </c>
      <c r="F17" s="5">
        <v>10</v>
      </c>
      <c r="G17" s="59" t="s">
        <v>346</v>
      </c>
      <c r="H17" s="60">
        <v>0.03</v>
      </c>
      <c r="I17" s="60">
        <v>0.04</v>
      </c>
      <c r="J17" s="60">
        <v>0.05</v>
      </c>
      <c r="K17" s="60">
        <v>0.04</v>
      </c>
      <c r="L17" s="60">
        <v>0.05</v>
      </c>
      <c r="M17" s="60">
        <v>0.05</v>
      </c>
    </row>
    <row r="18" spans="1:13" ht="12.75" customHeight="1" x14ac:dyDescent="0.25">
      <c r="A18" s="3"/>
      <c r="B18" t="s">
        <v>397</v>
      </c>
      <c r="C18" s="3"/>
      <c r="D18" t="s">
        <v>401</v>
      </c>
    </row>
    <row r="19" spans="1:13" ht="12.75" customHeight="1" x14ac:dyDescent="0.25">
      <c r="A19" s="3"/>
      <c r="B19" t="s">
        <v>380</v>
      </c>
      <c r="C19" s="3"/>
      <c r="D19" t="s">
        <v>380</v>
      </c>
      <c r="F19" s="5">
        <v>11</v>
      </c>
      <c r="G19" s="59" t="s">
        <v>347</v>
      </c>
      <c r="H19" s="60">
        <v>0.28999999999999998</v>
      </c>
      <c r="I19" s="60">
        <v>0.1</v>
      </c>
      <c r="J19" s="60">
        <v>0.05</v>
      </c>
      <c r="K19" s="60">
        <v>0.04</v>
      </c>
      <c r="L19" s="60">
        <v>7.0000000000000007E-2</v>
      </c>
      <c r="M19" s="60">
        <v>0.09</v>
      </c>
    </row>
    <row r="20" spans="1:13" ht="12.75" customHeight="1" x14ac:dyDescent="0.25">
      <c r="A20" s="3"/>
      <c r="B20" t="s">
        <v>398</v>
      </c>
      <c r="C20" s="3"/>
      <c r="D20" t="s">
        <v>402</v>
      </c>
      <c r="F20" s="5">
        <v>12</v>
      </c>
      <c r="G20" s="59" t="s">
        <v>348</v>
      </c>
      <c r="H20" s="60">
        <v>0.3</v>
      </c>
      <c r="I20" s="60">
        <v>0.2</v>
      </c>
      <c r="J20" s="60">
        <v>0.15</v>
      </c>
      <c r="K20" s="60">
        <v>0.05</v>
      </c>
      <c r="L20" s="60">
        <v>0.05</v>
      </c>
      <c r="M20" s="60">
        <v>0.05</v>
      </c>
    </row>
    <row r="21" spans="1:13" ht="12.75" customHeight="1" x14ac:dyDescent="0.25">
      <c r="A21" s="3"/>
      <c r="B21" t="s">
        <v>380</v>
      </c>
      <c r="C21" s="3"/>
      <c r="D21" t="s">
        <v>380</v>
      </c>
      <c r="F21" s="5">
        <v>13</v>
      </c>
      <c r="G21" s="59" t="s">
        <v>349</v>
      </c>
      <c r="H21" s="60">
        <v>1.2999999999999999E-2</v>
      </c>
      <c r="I21" s="60">
        <v>1.4999999999999999E-2</v>
      </c>
      <c r="J21" s="60">
        <v>0.02</v>
      </c>
      <c r="K21" s="60">
        <v>0.03</v>
      </c>
      <c r="L21" s="60">
        <v>0.04</v>
      </c>
      <c r="M21" s="60">
        <v>0.05</v>
      </c>
    </row>
    <row r="22" spans="1:13" ht="12.75" customHeight="1" x14ac:dyDescent="0.25">
      <c r="A22" s="3"/>
      <c r="B22" t="s">
        <v>399</v>
      </c>
      <c r="C22" s="3"/>
      <c r="D22" t="s">
        <v>403</v>
      </c>
      <c r="F22" s="5">
        <v>14</v>
      </c>
      <c r="G22" s="59" t="s">
        <v>350</v>
      </c>
      <c r="H22" s="60">
        <v>0.14000000000000001</v>
      </c>
      <c r="I22" s="60">
        <v>0.1</v>
      </c>
      <c r="J22" s="60">
        <v>0.06</v>
      </c>
      <c r="K22" s="60">
        <v>0.05</v>
      </c>
      <c r="L22" s="60">
        <v>0.04</v>
      </c>
      <c r="M22" s="60">
        <v>0.03</v>
      </c>
    </row>
    <row r="23" spans="1:13" ht="12.75" customHeight="1" x14ac:dyDescent="0.25">
      <c r="A23" s="3"/>
      <c r="B23" t="s">
        <v>380</v>
      </c>
      <c r="C23" s="3"/>
      <c r="D23" t="s">
        <v>380</v>
      </c>
      <c r="F23" s="5">
        <v>15</v>
      </c>
      <c r="G23" s="59" t="s">
        <v>351</v>
      </c>
      <c r="H23" s="60">
        <v>0.36</v>
      </c>
      <c r="I23" s="60">
        <v>0.44</v>
      </c>
      <c r="J23" s="60">
        <v>0.31</v>
      </c>
      <c r="K23" s="60">
        <v>0.28999999999999998</v>
      </c>
      <c r="L23" s="60">
        <v>0.39</v>
      </c>
      <c r="M23" s="60">
        <v>0.25</v>
      </c>
    </row>
    <row r="24" spans="1:13" ht="12.75" customHeight="1" x14ac:dyDescent="0.25">
      <c r="A24">
        <f>A16+A18+A20+A22</f>
        <v>70.762500000000003</v>
      </c>
      <c r="B24" t="s">
        <v>390</v>
      </c>
      <c r="C24">
        <f>C16+C18+C20+C22</f>
        <v>70.762500000000003</v>
      </c>
      <c r="D24" t="s">
        <v>389</v>
      </c>
    </row>
    <row r="26" spans="1:13" ht="12.75" customHeight="1" x14ac:dyDescent="0.25">
      <c r="F26" s="5">
        <v>16</v>
      </c>
      <c r="G26" s="59" t="s">
        <v>352</v>
      </c>
      <c r="H26" s="60">
        <v>0.1</v>
      </c>
      <c r="I26" s="60">
        <v>0.05</v>
      </c>
      <c r="J26" s="60">
        <v>0.06</v>
      </c>
      <c r="K26" s="60">
        <v>7.0000000000000007E-2</v>
      </c>
      <c r="L26" s="60">
        <v>0.09</v>
      </c>
      <c r="M26" s="60">
        <v>0.08</v>
      </c>
    </row>
    <row r="27" spans="1:13" ht="12.75" customHeight="1" x14ac:dyDescent="0.25">
      <c r="A27" t="s">
        <v>388</v>
      </c>
      <c r="C27" t="s">
        <v>385</v>
      </c>
      <c r="F27" s="5">
        <v>17</v>
      </c>
      <c r="G27" s="59" t="s">
        <v>353</v>
      </c>
      <c r="H27" s="60">
        <v>1.2999999999999999E-2</v>
      </c>
      <c r="I27" s="60">
        <v>1.4999999999999999E-2</v>
      </c>
      <c r="J27" s="60">
        <v>0.02</v>
      </c>
      <c r="K27" s="60">
        <v>0.03</v>
      </c>
      <c r="L27" s="60">
        <v>0.04</v>
      </c>
      <c r="M27" s="60">
        <v>0.05</v>
      </c>
    </row>
    <row r="28" spans="1:13" ht="12.75" customHeight="1" x14ac:dyDescent="0.25">
      <c r="A28" s="3">
        <f>A3*A5</f>
        <v>24.0975</v>
      </c>
      <c r="B28" t="s">
        <v>404</v>
      </c>
      <c r="C28" s="3">
        <v>24.0975</v>
      </c>
      <c r="D28" t="s">
        <v>408</v>
      </c>
      <c r="F28" s="5">
        <v>18</v>
      </c>
      <c r="G28" s="59" t="s">
        <v>354</v>
      </c>
      <c r="H28" s="60">
        <v>0.05</v>
      </c>
      <c r="I28" s="60">
        <v>0.04</v>
      </c>
      <c r="J28" s="60">
        <v>0.02</v>
      </c>
      <c r="K28" s="60">
        <v>0.04</v>
      </c>
      <c r="L28" s="60">
        <v>0.05</v>
      </c>
      <c r="M28" s="60">
        <v>0.05</v>
      </c>
    </row>
    <row r="29" spans="1:13" ht="12.75" customHeight="1" x14ac:dyDescent="0.25">
      <c r="A29" s="3">
        <v>16</v>
      </c>
      <c r="B29" t="s">
        <v>380</v>
      </c>
      <c r="C29" s="3">
        <v>16</v>
      </c>
      <c r="D29" t="s">
        <v>380</v>
      </c>
    </row>
    <row r="30" spans="1:13" ht="12.75" customHeight="1" x14ac:dyDescent="0.25">
      <c r="A30" s="3"/>
      <c r="B30" s="17" t="s">
        <v>405</v>
      </c>
      <c r="C30" s="3"/>
      <c r="D30" t="s">
        <v>409</v>
      </c>
      <c r="F30" s="5">
        <v>19</v>
      </c>
      <c r="G30" s="59" t="s">
        <v>355</v>
      </c>
      <c r="H30" s="60">
        <v>0.69</v>
      </c>
      <c r="I30" s="60">
        <v>0.86</v>
      </c>
      <c r="J30" s="60">
        <v>0.68</v>
      </c>
      <c r="K30" s="60">
        <v>0.87</v>
      </c>
      <c r="L30" s="60">
        <v>0.9</v>
      </c>
      <c r="M30" s="60">
        <v>0.81</v>
      </c>
    </row>
    <row r="31" spans="1:13" ht="12.75" customHeight="1" x14ac:dyDescent="0.25">
      <c r="A31" s="3"/>
      <c r="B31" t="s">
        <v>380</v>
      </c>
      <c r="C31" s="3"/>
      <c r="D31" t="s">
        <v>380</v>
      </c>
    </row>
    <row r="32" spans="1:13" ht="12.75" customHeight="1" x14ac:dyDescent="0.25">
      <c r="A32" s="3"/>
      <c r="B32" t="s">
        <v>406</v>
      </c>
      <c r="C32" s="3"/>
      <c r="D32" t="s">
        <v>410</v>
      </c>
      <c r="G32" s="59" t="s">
        <v>356</v>
      </c>
    </row>
    <row r="33" spans="1:13" ht="12.75" customHeight="1" x14ac:dyDescent="0.25">
      <c r="A33" s="3"/>
      <c r="B33" t="s">
        <v>380</v>
      </c>
      <c r="C33" s="3"/>
      <c r="D33" t="s">
        <v>380</v>
      </c>
      <c r="F33" s="5">
        <v>20</v>
      </c>
      <c r="G33" s="59" t="s">
        <v>357</v>
      </c>
      <c r="H33" s="60">
        <v>0.03</v>
      </c>
      <c r="I33" s="60">
        <v>0.12</v>
      </c>
      <c r="J33" s="60">
        <v>0.15</v>
      </c>
      <c r="K33" s="60">
        <v>0.27</v>
      </c>
      <c r="L33" s="60">
        <v>0.37</v>
      </c>
      <c r="M33" s="60">
        <v>0.42</v>
      </c>
    </row>
    <row r="34" spans="1:13" ht="12.75" customHeight="1" x14ac:dyDescent="0.25">
      <c r="A34" s="3"/>
      <c r="B34" t="s">
        <v>407</v>
      </c>
      <c r="C34" s="3"/>
      <c r="D34" t="s">
        <v>411</v>
      </c>
      <c r="F34" s="5">
        <v>21</v>
      </c>
      <c r="G34" s="59" t="s">
        <v>358</v>
      </c>
      <c r="H34" s="60">
        <v>0.04</v>
      </c>
      <c r="I34" s="60">
        <v>0.23</v>
      </c>
      <c r="J34" s="60">
        <v>0.4</v>
      </c>
      <c r="K34" s="60">
        <v>0.56999999999999995</v>
      </c>
      <c r="L34" s="60">
        <v>0.53</v>
      </c>
      <c r="M34" s="60">
        <v>0.4</v>
      </c>
    </row>
    <row r="35" spans="1:13" ht="12.75" customHeight="1" x14ac:dyDescent="0.25">
      <c r="A35" s="3"/>
      <c r="B35" t="s">
        <v>380</v>
      </c>
      <c r="C35" s="3"/>
      <c r="D35" t="s">
        <v>380</v>
      </c>
      <c r="F35" s="5">
        <v>22</v>
      </c>
      <c r="G35" s="59" t="s">
        <v>359</v>
      </c>
      <c r="H35" s="60">
        <v>7.0000000000000007E-2</v>
      </c>
      <c r="I35" s="60">
        <v>0.37</v>
      </c>
      <c r="J35" s="60">
        <v>0.49</v>
      </c>
      <c r="K35" s="60">
        <v>0.81</v>
      </c>
      <c r="L35" s="60">
        <v>0.65</v>
      </c>
      <c r="M35" s="60">
        <v>0.54</v>
      </c>
    </row>
    <row r="36" spans="1:13" ht="12.75" customHeight="1" x14ac:dyDescent="0.25">
      <c r="A36">
        <f>A28+A30+A32+A34</f>
        <v>24.0975</v>
      </c>
      <c r="B36" t="s">
        <v>391</v>
      </c>
      <c r="C36">
        <f>C28+C30+C32+C34</f>
        <v>24.0975</v>
      </c>
      <c r="D36" t="s">
        <v>392</v>
      </c>
      <c r="F36" s="5">
        <v>23</v>
      </c>
      <c r="G36" s="59" t="s">
        <v>360</v>
      </c>
      <c r="H36" s="60">
        <v>7.0000000000000007E-2</v>
      </c>
      <c r="I36" s="60">
        <v>0.37</v>
      </c>
      <c r="J36" s="60">
        <v>0.49</v>
      </c>
      <c r="K36" s="60">
        <v>0.81</v>
      </c>
      <c r="L36" s="60">
        <v>0.65</v>
      </c>
      <c r="M36" s="60">
        <v>0.54</v>
      </c>
    </row>
    <row r="37" spans="1:13" ht="12.75" customHeight="1" x14ac:dyDescent="0.25">
      <c r="F37" s="5">
        <v>24</v>
      </c>
      <c r="G37" s="59" t="s">
        <v>361</v>
      </c>
      <c r="H37" s="60">
        <v>0.14000000000000001</v>
      </c>
      <c r="I37" s="60">
        <v>0.35</v>
      </c>
      <c r="J37" s="60">
        <v>0.55000000000000004</v>
      </c>
      <c r="K37" s="60">
        <v>0.72</v>
      </c>
      <c r="L37" s="60">
        <v>0.7</v>
      </c>
      <c r="M37" s="60">
        <v>0.65</v>
      </c>
    </row>
    <row r="39" spans="1:13" ht="12.75" customHeight="1" x14ac:dyDescent="0.25">
      <c r="A39" t="s">
        <v>386</v>
      </c>
      <c r="C39" t="s">
        <v>387</v>
      </c>
      <c r="F39" s="5">
        <v>25</v>
      </c>
      <c r="G39" s="59" t="s">
        <v>362</v>
      </c>
      <c r="H39" s="60">
        <v>7.0000000000000007E-2</v>
      </c>
      <c r="I39" s="60">
        <v>0.21</v>
      </c>
      <c r="J39" s="60">
        <v>0.66</v>
      </c>
      <c r="K39" s="60">
        <v>0.75</v>
      </c>
      <c r="L39" s="60">
        <v>0.62</v>
      </c>
      <c r="M39" s="60">
        <v>0.49</v>
      </c>
    </row>
    <row r="40" spans="1:13" ht="12.75" customHeight="1" x14ac:dyDescent="0.25">
      <c r="A40" s="3">
        <f>A4*A5</f>
        <v>29.137499999999999</v>
      </c>
      <c r="B40" t="s">
        <v>412</v>
      </c>
      <c r="C40" s="3">
        <v>29.137499999999999</v>
      </c>
      <c r="D40" t="s">
        <v>416</v>
      </c>
      <c r="F40" s="5">
        <v>26</v>
      </c>
      <c r="G40" s="59" t="s">
        <v>363</v>
      </c>
      <c r="H40" s="60">
        <v>0.09</v>
      </c>
      <c r="I40" s="60">
        <v>0.28000000000000003</v>
      </c>
      <c r="J40" s="60">
        <v>0.78</v>
      </c>
      <c r="K40" s="60">
        <v>0.84</v>
      </c>
      <c r="L40" s="60">
        <v>0.73</v>
      </c>
      <c r="M40" s="60">
        <v>0.64</v>
      </c>
    </row>
    <row r="41" spans="1:13" ht="12.75" customHeight="1" x14ac:dyDescent="0.25">
      <c r="A41" s="3">
        <v>16</v>
      </c>
      <c r="B41" t="s">
        <v>380</v>
      </c>
      <c r="C41" s="3">
        <v>16</v>
      </c>
      <c r="D41" t="s">
        <v>380</v>
      </c>
      <c r="F41" s="5">
        <v>27</v>
      </c>
      <c r="G41" s="59" t="s">
        <v>364</v>
      </c>
      <c r="H41" s="60">
        <v>0.08</v>
      </c>
      <c r="I41" s="60">
        <v>0.25</v>
      </c>
      <c r="J41" s="60">
        <v>0.6</v>
      </c>
      <c r="K41" s="60">
        <v>0.9</v>
      </c>
      <c r="L41" s="60">
        <v>0.95</v>
      </c>
      <c r="M41" s="60">
        <v>0.9</v>
      </c>
    </row>
    <row r="42" spans="1:13" ht="12.75" customHeight="1" x14ac:dyDescent="0.25">
      <c r="A42" s="3"/>
      <c r="B42" t="s">
        <v>413</v>
      </c>
      <c r="C42" s="3"/>
      <c r="D42" t="s">
        <v>417</v>
      </c>
      <c r="F42" s="5">
        <v>28</v>
      </c>
      <c r="G42" s="59" t="s">
        <v>365</v>
      </c>
      <c r="H42" s="60">
        <v>0.2</v>
      </c>
      <c r="I42" s="60">
        <v>0.7</v>
      </c>
      <c r="J42" s="60">
        <v>0.99</v>
      </c>
      <c r="K42" s="60">
        <v>0.99</v>
      </c>
      <c r="L42" s="60">
        <v>0.99</v>
      </c>
      <c r="M42" s="60">
        <v>0.99</v>
      </c>
    </row>
    <row r="43" spans="1:13" ht="12.75" customHeight="1" x14ac:dyDescent="0.25">
      <c r="A43" s="3"/>
      <c r="B43" t="s">
        <v>380</v>
      </c>
      <c r="C43" s="3"/>
      <c r="D43" t="s">
        <v>380</v>
      </c>
      <c r="F43" s="5">
        <v>29</v>
      </c>
      <c r="G43" s="59" t="s">
        <v>366</v>
      </c>
      <c r="H43" s="60">
        <v>0.2</v>
      </c>
      <c r="I43" s="60">
        <v>0.45</v>
      </c>
      <c r="J43" s="60">
        <v>0.7</v>
      </c>
      <c r="K43" s="60">
        <v>0.8</v>
      </c>
      <c r="L43" s="60">
        <v>0.8</v>
      </c>
      <c r="M43" s="60">
        <v>0.8</v>
      </c>
    </row>
    <row r="44" spans="1:13" ht="12.75" customHeight="1" x14ac:dyDescent="0.25">
      <c r="A44" s="3"/>
      <c r="B44" t="s">
        <v>414</v>
      </c>
      <c r="C44" s="3"/>
      <c r="D44" t="s">
        <v>418</v>
      </c>
    </row>
    <row r="45" spans="1:13" ht="12.75" customHeight="1" x14ac:dyDescent="0.25">
      <c r="A45" s="3"/>
      <c r="B45" t="s">
        <v>380</v>
      </c>
      <c r="C45" s="3"/>
      <c r="D45" t="s">
        <v>380</v>
      </c>
      <c r="F45" s="5">
        <v>30</v>
      </c>
      <c r="G45" s="59" t="s">
        <v>367</v>
      </c>
      <c r="H45" s="60">
        <v>0.18</v>
      </c>
      <c r="I45" s="60">
        <v>0.06</v>
      </c>
      <c r="J45" s="60">
        <v>0.04</v>
      </c>
      <c r="K45" s="60">
        <v>0.03</v>
      </c>
      <c r="L45" s="60">
        <v>0.02</v>
      </c>
      <c r="M45" s="60">
        <v>0.02</v>
      </c>
    </row>
    <row r="46" spans="1:13" ht="12.75" customHeight="1" x14ac:dyDescent="0.25">
      <c r="A46" s="3"/>
      <c r="B46" t="s">
        <v>415</v>
      </c>
      <c r="C46" s="3"/>
      <c r="D46" t="s">
        <v>419</v>
      </c>
      <c r="F46" s="5">
        <v>31</v>
      </c>
      <c r="G46" s="59" t="s">
        <v>368</v>
      </c>
      <c r="H46" s="60">
        <v>0.1</v>
      </c>
      <c r="I46" s="60">
        <v>0.06</v>
      </c>
      <c r="J46" s="60">
        <v>0.04</v>
      </c>
      <c r="K46" s="60">
        <v>0.03</v>
      </c>
      <c r="L46" s="60">
        <v>0.02</v>
      </c>
      <c r="M46" s="60">
        <v>0.02</v>
      </c>
    </row>
    <row r="47" spans="1:13" ht="12.75" customHeight="1" x14ac:dyDescent="0.25">
      <c r="A47" s="3"/>
      <c r="B47" t="s">
        <v>380</v>
      </c>
      <c r="C47" s="3"/>
      <c r="D47" t="s">
        <v>380</v>
      </c>
      <c r="F47" s="5">
        <v>32</v>
      </c>
      <c r="G47" s="59" t="s">
        <v>369</v>
      </c>
      <c r="H47" s="60">
        <v>0.35</v>
      </c>
      <c r="I47" s="60">
        <v>0.25</v>
      </c>
      <c r="J47" s="60">
        <v>0.18</v>
      </c>
      <c r="K47" s="60">
        <v>0.12</v>
      </c>
      <c r="L47" s="60">
        <v>7.0000000000000007E-2</v>
      </c>
      <c r="M47" s="60">
        <v>0.04</v>
      </c>
    </row>
    <row r="48" spans="1:13" ht="12.75" customHeight="1" x14ac:dyDescent="0.25">
      <c r="A48">
        <f>A40+A42+A44+A46</f>
        <v>29.137499999999999</v>
      </c>
      <c r="B48" t="s">
        <v>393</v>
      </c>
      <c r="C48">
        <f>C40+C42+C44+C46</f>
        <v>29.137499999999999</v>
      </c>
      <c r="D48" t="s">
        <v>394</v>
      </c>
    </row>
    <row r="49" spans="6:13" ht="12.75" customHeight="1" x14ac:dyDescent="0.25">
      <c r="F49" s="5">
        <v>33</v>
      </c>
      <c r="G49" s="59" t="s">
        <v>370</v>
      </c>
      <c r="H49" s="60">
        <v>0.25</v>
      </c>
      <c r="I49" s="60">
        <v>0.4</v>
      </c>
      <c r="J49" s="60">
        <v>0.6</v>
      </c>
      <c r="K49" s="60">
        <v>0.5</v>
      </c>
      <c r="L49" s="60">
        <v>0.75</v>
      </c>
      <c r="M49" s="60">
        <v>0.5</v>
      </c>
    </row>
    <row r="50" spans="6:13" ht="12.75" customHeight="1" x14ac:dyDescent="0.25">
      <c r="F50" s="5">
        <v>34</v>
      </c>
      <c r="G50" s="59" t="s">
        <v>371</v>
      </c>
      <c r="H50" s="60">
        <v>0.28000000000000003</v>
      </c>
      <c r="I50" s="60">
        <v>0.22</v>
      </c>
      <c r="J50" s="60">
        <v>0.17</v>
      </c>
      <c r="K50" s="60">
        <v>0.09</v>
      </c>
      <c r="L50" s="60">
        <v>0.1</v>
      </c>
      <c r="M50" s="60">
        <v>0.11</v>
      </c>
    </row>
    <row r="51" spans="6:13" ht="12.75" customHeight="1" x14ac:dyDescent="0.25">
      <c r="F51" s="5">
        <v>35</v>
      </c>
      <c r="G51" s="59" t="s">
        <v>372</v>
      </c>
      <c r="H51" s="60">
        <v>0.4</v>
      </c>
      <c r="I51" s="60">
        <v>0.84</v>
      </c>
      <c r="J51" s="60">
        <v>0.4</v>
      </c>
      <c r="K51" s="60">
        <v>0.16</v>
      </c>
      <c r="L51" s="60">
        <v>0.14000000000000001</v>
      </c>
      <c r="M51" s="60">
        <v>0.12</v>
      </c>
    </row>
    <row r="52" spans="6:13" ht="12.75" customHeight="1" x14ac:dyDescent="0.25">
      <c r="F52" s="5">
        <v>36</v>
      </c>
      <c r="G52" s="59" t="s">
        <v>373</v>
      </c>
      <c r="H52" s="60">
        <v>0.98</v>
      </c>
      <c r="I52" s="60">
        <v>0.88</v>
      </c>
      <c r="J52" s="60">
        <v>0.52</v>
      </c>
      <c r="K52" s="60">
        <v>0.21</v>
      </c>
      <c r="L52" s="60">
        <v>0.16</v>
      </c>
      <c r="M52" s="60">
        <v>0.14000000000000001</v>
      </c>
    </row>
    <row r="53" spans="6:13" ht="12.75" customHeight="1" x14ac:dyDescent="0.25">
      <c r="F53" s="5">
        <v>37</v>
      </c>
      <c r="G53" s="59" t="s">
        <v>374</v>
      </c>
      <c r="H53" s="60">
        <v>0.67</v>
      </c>
      <c r="I53" s="60">
        <v>0.98</v>
      </c>
      <c r="J53" s="60">
        <v>0.98</v>
      </c>
      <c r="K53" s="60">
        <v>0.93</v>
      </c>
      <c r="L53" s="60">
        <v>0.98</v>
      </c>
      <c r="M53" s="60">
        <v>0.96</v>
      </c>
    </row>
    <row r="55" spans="6:13" ht="12.75" customHeight="1" x14ac:dyDescent="0.25">
      <c r="F55" s="5">
        <v>38</v>
      </c>
      <c r="G55" s="59" t="s">
        <v>375</v>
      </c>
      <c r="H55" s="60">
        <v>0.1</v>
      </c>
      <c r="I55" s="60">
        <v>0.2</v>
      </c>
      <c r="J55" s="60">
        <v>0.25</v>
      </c>
      <c r="K55" s="60">
        <v>0.3</v>
      </c>
      <c r="L55" s="60">
        <v>0.4</v>
      </c>
      <c r="M55" s="60">
        <v>0.3</v>
      </c>
    </row>
    <row r="56" spans="6:13" ht="12.75" customHeight="1" x14ac:dyDescent="0.25">
      <c r="F56" s="5">
        <v>39</v>
      </c>
      <c r="G56" s="59" t="s">
        <v>376</v>
      </c>
      <c r="H56" s="60">
        <v>2.1</v>
      </c>
      <c r="I56" s="60">
        <v>2.5</v>
      </c>
      <c r="J56" s="60">
        <v>2.9</v>
      </c>
      <c r="K56" s="60">
        <v>5</v>
      </c>
      <c r="L56" s="60">
        <v>5.2</v>
      </c>
      <c r="M56" s="60">
        <v>5</v>
      </c>
    </row>
    <row r="57" spans="6:13" ht="12.75" customHeight="1" x14ac:dyDescent="0.25">
      <c r="F57" s="5">
        <v>40</v>
      </c>
      <c r="G57" s="59" t="s">
        <v>377</v>
      </c>
      <c r="H57" s="60">
        <v>2.5</v>
      </c>
      <c r="I57" s="60">
        <v>3.5</v>
      </c>
      <c r="J57" s="60">
        <v>4</v>
      </c>
      <c r="K57" s="60">
        <v>4.5</v>
      </c>
      <c r="L57" s="60">
        <v>5</v>
      </c>
      <c r="M57" s="60">
        <v>4.5</v>
      </c>
    </row>
    <row r="58" spans="6:13" ht="12.75" customHeight="1" x14ac:dyDescent="0.25">
      <c r="F58" s="5">
        <v>41</v>
      </c>
      <c r="G58" s="59" t="s">
        <v>377</v>
      </c>
      <c r="H58" s="60">
        <v>4</v>
      </c>
      <c r="I58" s="60">
        <v>5</v>
      </c>
      <c r="J58" s="60">
        <v>5.5</v>
      </c>
      <c r="K58" s="60">
        <v>6.5</v>
      </c>
      <c r="L58" s="60">
        <v>7</v>
      </c>
      <c r="M58" s="60">
        <v>7</v>
      </c>
    </row>
    <row r="62" spans="6:13" ht="12.75" customHeight="1" x14ac:dyDescent="0.25">
      <c r="F62" s="18" t="s">
        <v>395</v>
      </c>
      <c r="H62" s="62" t="s">
        <v>330</v>
      </c>
      <c r="I62" s="62" t="s">
        <v>331</v>
      </c>
      <c r="J62" s="62" t="s">
        <v>332</v>
      </c>
      <c r="K62" s="62" t="s">
        <v>333</v>
      </c>
      <c r="L62" s="62" t="s">
        <v>334</v>
      </c>
      <c r="M62" s="62" t="s">
        <v>335</v>
      </c>
    </row>
    <row r="63" spans="6:13" ht="12.75" customHeight="1" x14ac:dyDescent="0.25">
      <c r="F63" s="5">
        <v>1</v>
      </c>
      <c r="G63" s="59" t="str">
        <f>IF($A$17=0,0,VLOOKUP($A$17,Co_table,2))</f>
        <v>Concrete Floor</v>
      </c>
      <c r="H63" s="60">
        <f>IF($A$17=0,0,VLOOKUP($A$17,Co_table,3))</f>
        <v>0.01</v>
      </c>
      <c r="I63" s="60">
        <f>IF($A$17=0,0,VLOOKUP($A$17,Co_table,4))</f>
        <v>0.01</v>
      </c>
      <c r="J63" s="60">
        <f>IF($A$17=0,0,VLOOKUP($A$17,Co_table,5))</f>
        <v>1.4999999999999999E-2</v>
      </c>
      <c r="K63" s="60">
        <f>IF($A$17=0,0,VLOOKUP($A$17,Co_table,6))</f>
        <v>0.02</v>
      </c>
      <c r="L63" s="60">
        <f>IF($A$17=0,0,VLOOKUP($A$17,Co_table,7))</f>
        <v>0.02</v>
      </c>
      <c r="M63" s="60">
        <f>IF($A$17=0,0,VLOOKUP($A$17,Co_table,8))</f>
        <v>0.02</v>
      </c>
    </row>
    <row r="64" spans="6:13" ht="12.75" customHeight="1" x14ac:dyDescent="0.25">
      <c r="F64" s="5">
        <v>2</v>
      </c>
      <c r="G64" s="59">
        <f>IF($A$19=0,0,VLOOKUP($A$19,Co_table,2))</f>
        <v>0</v>
      </c>
      <c r="H64" s="60">
        <f>IF($A$19=0,0,VLOOKUP($A$19,Co_table,3))</f>
        <v>0</v>
      </c>
      <c r="I64" s="60">
        <f>IF($A$19=0,0,VLOOKUP($A$19,Co_table,4))</f>
        <v>0</v>
      </c>
      <c r="J64" s="60">
        <f>IF($A$19=0,0,VLOOKUP($A$19,Co_table,5))</f>
        <v>0</v>
      </c>
      <c r="K64" s="60">
        <f>IF($A$19=0,0,VLOOKUP($A$19,Co_table,6))</f>
        <v>0</v>
      </c>
      <c r="L64" s="60">
        <f>IF($A$19=0,0,VLOOKUP($A$19,Co_table,7))</f>
        <v>0</v>
      </c>
      <c r="M64" s="60">
        <f>IF($A$19=0,0,VLOOKUP($A$19,Co_table,8))</f>
        <v>0</v>
      </c>
    </row>
    <row r="65" spans="6:13" ht="12.75" customHeight="1" x14ac:dyDescent="0.25">
      <c r="F65" s="5">
        <v>3</v>
      </c>
      <c r="G65" s="59">
        <f>IF($A$21=0,0,VLOOKUP($A$21,Co_table,2))</f>
        <v>0</v>
      </c>
      <c r="H65" s="60">
        <f>IF($A$21=0,0,VLOOKUP($A$21,Co_table,3))</f>
        <v>0</v>
      </c>
      <c r="I65" s="60">
        <f>IF($A$21=0,0,VLOOKUP($A$21,Co_table,4))</f>
        <v>0</v>
      </c>
      <c r="J65" s="60">
        <f>IF($A$21=0,0,VLOOKUP($A$21,Co_table,5))</f>
        <v>0</v>
      </c>
      <c r="K65" s="60">
        <f>IF($A$21=0,0,VLOOKUP($A$21,Co_table,6))</f>
        <v>0</v>
      </c>
      <c r="L65" s="60">
        <f>IF($A$21=0,0,VLOOKUP($A$21,Co_table,7))</f>
        <v>0</v>
      </c>
      <c r="M65" s="60">
        <f>IF($A$21=0,0,VLOOKUP($A$21,Co_table,8))</f>
        <v>0</v>
      </c>
    </row>
    <row r="66" spans="6:13" ht="12.75" customHeight="1" x14ac:dyDescent="0.25">
      <c r="F66" s="5">
        <v>4</v>
      </c>
      <c r="G66" s="59">
        <f>IF($A$23=0,0,VLOOKUP($A$23,Co_table,2))</f>
        <v>0</v>
      </c>
      <c r="H66" s="60">
        <f>IF($A$23=0,0,VLOOKUP($A$23,Co_table,3))</f>
        <v>0</v>
      </c>
      <c r="I66" s="60">
        <f>IF($A$23=0,0,VLOOKUP($A$23,Co_table,4))</f>
        <v>0</v>
      </c>
      <c r="J66" s="60">
        <f>IF($A$23=0,0,VLOOKUP($A$23,Co_table,5))</f>
        <v>0</v>
      </c>
      <c r="K66" s="60">
        <f>IF($A$23=0,0,VLOOKUP($A$23,Co_table,6))</f>
        <v>0</v>
      </c>
      <c r="L66" s="60">
        <f>IF($A$23=0,0,VLOOKUP($A$23,Co_table,7))</f>
        <v>0</v>
      </c>
      <c r="M66" s="60">
        <f>IF($A$23=0,0,VLOOKUP($A$23,Co_table,8))</f>
        <v>0</v>
      </c>
    </row>
    <row r="67" spans="6:13" ht="12.75" customHeight="1" x14ac:dyDescent="0.25">
      <c r="F67" s="5">
        <v>5</v>
      </c>
      <c r="G67" s="59" t="str">
        <f>IF($C$17=0,0,VLOOKUP($C$17,Co_table,2))</f>
        <v>Concrete Block, painted</v>
      </c>
      <c r="H67" s="60">
        <f>IF($C$17=0,0,VLOOKUP($C$17,Co_table,3))</f>
        <v>0.1</v>
      </c>
      <c r="I67" s="60">
        <f>IF($C$17=0,0,VLOOKUP($C$17,Co_table,4))</f>
        <v>0.05</v>
      </c>
      <c r="J67" s="60">
        <f>IF($C$17=0,0,VLOOKUP($C$17,Co_table,5))</f>
        <v>0.06</v>
      </c>
      <c r="K67" s="60">
        <f>IF($C$17=0,0,VLOOKUP($C$17,Co_table,6))</f>
        <v>7.0000000000000007E-2</v>
      </c>
      <c r="L67" s="60">
        <f>IF($C$17=0,0,VLOOKUP($C$17,Co_table,7))</f>
        <v>0.09</v>
      </c>
      <c r="M67" s="60">
        <f>IF($C$17=0,0,VLOOKUP($C$17,Co_table,8))</f>
        <v>0.08</v>
      </c>
    </row>
    <row r="68" spans="6:13" ht="12.75" customHeight="1" x14ac:dyDescent="0.25">
      <c r="F68" s="5">
        <v>6</v>
      </c>
      <c r="G68" s="59">
        <f>IF($C$19=0,0,VLOOKUP($C$19,Co_table,2))</f>
        <v>0</v>
      </c>
      <c r="H68" s="60">
        <f>IF($C$19=0,0,VLOOKUP($C$19,Co_table,3))</f>
        <v>0</v>
      </c>
      <c r="I68" s="60">
        <f>IF($C$19=0,0,VLOOKUP($C$19,Co_table,4))</f>
        <v>0</v>
      </c>
      <c r="J68" s="60">
        <f>IF($C$19=0,0,VLOOKUP($C$19,Co_table,5))</f>
        <v>0</v>
      </c>
      <c r="K68" s="60">
        <f>IF($C$19=0,0,VLOOKUP($C$19,Co_table,6))</f>
        <v>0</v>
      </c>
      <c r="L68" s="60">
        <f>IF($C$19=0,0,VLOOKUP($C$19,Co_table,7))</f>
        <v>0</v>
      </c>
      <c r="M68" s="60">
        <f>IF($C$19=0,0,VLOOKUP($C$19,Co_table,8))</f>
        <v>0</v>
      </c>
    </row>
    <row r="69" spans="6:13" ht="12.75" customHeight="1" x14ac:dyDescent="0.25">
      <c r="F69" s="5">
        <v>7</v>
      </c>
      <c r="G69" s="59">
        <f>IF($C$21=0,0,VLOOKUP($C$21,Co_table,2))</f>
        <v>0</v>
      </c>
      <c r="H69" s="60">
        <f>IF($C$21=0,0,VLOOKUP($C$21,Co_table,3))</f>
        <v>0</v>
      </c>
      <c r="I69" s="60">
        <f>IF($C$21=0,0,VLOOKUP($C$21,Co_table,4))</f>
        <v>0</v>
      </c>
      <c r="J69" s="60">
        <f>IF($C$21=0,0,VLOOKUP($C$21,Co_table,5))</f>
        <v>0</v>
      </c>
      <c r="K69" s="60">
        <f>IF($C$21=0,0,VLOOKUP($C$21,Co_table,6))</f>
        <v>0</v>
      </c>
      <c r="L69" s="60">
        <f>IF($C$21=0,0,VLOOKUP($C$21,Co_table,7))</f>
        <v>0</v>
      </c>
      <c r="M69" s="60">
        <f>IF($C$21=0,0,VLOOKUP($C$21,Co_table,8))</f>
        <v>0</v>
      </c>
    </row>
    <row r="70" spans="6:13" ht="12.75" customHeight="1" x14ac:dyDescent="0.25">
      <c r="F70" s="5">
        <v>8</v>
      </c>
      <c r="G70" s="59">
        <f>IF($C$23=0,0,VLOOKUP($C$23,Co_table,2))</f>
        <v>0</v>
      </c>
      <c r="H70" s="60">
        <f>IF($C$23=0,0,VLOOKUP($C$23,Co_table,3))</f>
        <v>0</v>
      </c>
      <c r="I70" s="60">
        <f>IF($C$23=0,0,VLOOKUP($C$23,Co_table,4))</f>
        <v>0</v>
      </c>
      <c r="J70" s="60">
        <f>IF($C$23=0,0,VLOOKUP($C$23,Co_table,5))</f>
        <v>0</v>
      </c>
      <c r="K70" s="60">
        <f>IF($C$23=0,0,VLOOKUP($C$23,Co_table,6))</f>
        <v>0</v>
      </c>
      <c r="L70" s="60">
        <f>IF($C$23=0,0,VLOOKUP($C$23,Co_table,7))</f>
        <v>0</v>
      </c>
      <c r="M70" s="60">
        <f>IF($C$23=0,0,VLOOKUP($C$23,Co_table,8))</f>
        <v>0</v>
      </c>
    </row>
    <row r="71" spans="6:13" ht="12.75" customHeight="1" x14ac:dyDescent="0.25">
      <c r="F71" s="5">
        <v>9</v>
      </c>
      <c r="G71" s="59" t="str">
        <f>IF($A$29=0,0,VLOOKUP($A$29,Co_table,2))</f>
        <v>Concrete Block, painted</v>
      </c>
      <c r="H71" s="60">
        <f>IF($A$29=0,0,VLOOKUP($A$29,Co_table,3))</f>
        <v>0.1</v>
      </c>
      <c r="I71" s="60">
        <f>IF($A$29=0,0,VLOOKUP($A$29,Co_table,4))</f>
        <v>0.05</v>
      </c>
      <c r="J71" s="60">
        <f>IF($A$29=0,0,VLOOKUP($A$29,Co_table,5))</f>
        <v>0.06</v>
      </c>
      <c r="K71" s="60">
        <f>IF($A$29=0,0,VLOOKUP($A$29,Co_table,6))</f>
        <v>7.0000000000000007E-2</v>
      </c>
      <c r="L71" s="60">
        <f>IF($A$29=0,0,VLOOKUP($A$29,Co_table,7))</f>
        <v>0.09</v>
      </c>
      <c r="M71" s="60">
        <f>IF($A$29=0,0,VLOOKUP($A$29,Co_table,8))</f>
        <v>0.08</v>
      </c>
    </row>
    <row r="72" spans="6:13" ht="12.75" customHeight="1" x14ac:dyDescent="0.25">
      <c r="F72" s="5">
        <v>10</v>
      </c>
      <c r="G72" s="59">
        <f>IF($A$31=0,0,VLOOKUP($A$31,Co_table,2))</f>
        <v>0</v>
      </c>
      <c r="H72" s="60">
        <f>IF($A$31=0,0,VLOOKUP($A$31,Co_table,3))</f>
        <v>0</v>
      </c>
      <c r="I72" s="60">
        <f>IF($A$31=0,0,VLOOKUP($A$31,Co_table,4))</f>
        <v>0</v>
      </c>
      <c r="J72" s="60">
        <f>IF($A$31=0,0,VLOOKUP($A$31,Co_table,5))</f>
        <v>0</v>
      </c>
      <c r="K72" s="60">
        <f>IF($A$31=0,0,VLOOKUP($A$31,Co_table,6))</f>
        <v>0</v>
      </c>
      <c r="L72" s="60">
        <f>IF($A$31=0,0,VLOOKUP($A$31,Co_table,7))</f>
        <v>0</v>
      </c>
      <c r="M72" s="60">
        <f>IF($A$31=0,0,VLOOKUP($A$31,Co_table,8))</f>
        <v>0</v>
      </c>
    </row>
    <row r="73" spans="6:13" ht="12.75" customHeight="1" x14ac:dyDescent="0.25">
      <c r="F73" s="5">
        <v>11</v>
      </c>
      <c r="G73" s="59">
        <f>IF($A$23=0,0,VLOOKUP($A$33,Co_table,2))</f>
        <v>0</v>
      </c>
      <c r="H73" s="60">
        <f>IF($A$23=0,0,VLOOKUP($A$33,Co_table,3))</f>
        <v>0</v>
      </c>
      <c r="I73" s="60">
        <f>IF($A$23=0,0,VLOOKUP($A$33,Co_table,4))</f>
        <v>0</v>
      </c>
      <c r="J73" s="60">
        <f>IF($A$23=0,0,VLOOKUP($A$33,Co_table,5))</f>
        <v>0</v>
      </c>
      <c r="K73" s="60">
        <f>IF($A$23=0,0,VLOOKUP($A$33,Co_table,6))</f>
        <v>0</v>
      </c>
      <c r="L73" s="60">
        <f>IF($A$23=0,0,VLOOKUP($A$33,Co_table,7))</f>
        <v>0</v>
      </c>
      <c r="M73" s="60">
        <f>IF($A$23=0,0,VLOOKUP($A$33,Co_table,8))</f>
        <v>0</v>
      </c>
    </row>
    <row r="74" spans="6:13" ht="12.75" customHeight="1" x14ac:dyDescent="0.25">
      <c r="F74" s="5">
        <v>12</v>
      </c>
      <c r="G74" s="59">
        <f>IF($A$35=0,0,VLOOKUP($A$35,Co_table,2))</f>
        <v>0</v>
      </c>
      <c r="H74" s="60">
        <f>IF($A$35=0,0,VLOOKUP($A$35,Co_table,3))</f>
        <v>0</v>
      </c>
      <c r="I74" s="60">
        <f>IF($A$35=0,0,VLOOKUP($A$35,Co_table,4))</f>
        <v>0</v>
      </c>
      <c r="J74" s="60">
        <f>IF($A$35=0,0,VLOOKUP($A$35,Co_table,5))</f>
        <v>0</v>
      </c>
      <c r="K74" s="60">
        <f>IF($A$35=0,0,VLOOKUP($A$35,Co_table,6))</f>
        <v>0</v>
      </c>
      <c r="L74" s="60">
        <f>IF($A$35=0,0,VLOOKUP($A$35,Co_table,7))</f>
        <v>0</v>
      </c>
      <c r="M74" s="60">
        <f>IF($A$35=0,0,VLOOKUP($A$35,Co_table,8))</f>
        <v>0</v>
      </c>
    </row>
    <row r="75" spans="6:13" ht="12.75" customHeight="1" x14ac:dyDescent="0.25">
      <c r="F75" s="5">
        <v>13</v>
      </c>
      <c r="G75" s="59" t="str">
        <f>IF($C$29=0,0,VLOOKUP($C$29,Co_table,2))</f>
        <v>Concrete Block, painted</v>
      </c>
      <c r="H75" s="60">
        <f>IF($C$29=0,0,VLOOKUP($C$29,Co_table,3))</f>
        <v>0.1</v>
      </c>
      <c r="I75" s="60">
        <f>IF($C$29=0,0,VLOOKUP($C$29,Co_table,4))</f>
        <v>0.05</v>
      </c>
      <c r="J75" s="60">
        <f>IF($C$29=0,0,VLOOKUP($C$29,Co_table,5))</f>
        <v>0.06</v>
      </c>
      <c r="K75" s="60">
        <f>IF($C$29=0,0,VLOOKUP($C$29,Co_table,6))</f>
        <v>7.0000000000000007E-2</v>
      </c>
      <c r="L75" s="60">
        <f>IF($C$29=0,0,VLOOKUP($C$29,Co_table,7))</f>
        <v>0.09</v>
      </c>
      <c r="M75" s="60">
        <f>IF($C$29=0,0,VLOOKUP($C$29,Co_table,8))</f>
        <v>0.08</v>
      </c>
    </row>
    <row r="76" spans="6:13" ht="12.75" customHeight="1" x14ac:dyDescent="0.25">
      <c r="F76" s="5">
        <v>14</v>
      </c>
      <c r="G76" s="59">
        <f>IF($C$31=0,0,VLOOKUP($C$31,Co_table,2))</f>
        <v>0</v>
      </c>
      <c r="H76" s="60">
        <f>IF($C$31=0,0,VLOOKUP($C$31,Co_table,3))</f>
        <v>0</v>
      </c>
      <c r="I76" s="60">
        <f>IF($C$31=0,0,VLOOKUP($C$31,Co_table,4))</f>
        <v>0</v>
      </c>
      <c r="J76" s="60">
        <f>IF($C$31=0,0,VLOOKUP($C$31,Co_table,5))</f>
        <v>0</v>
      </c>
      <c r="K76" s="60">
        <f>IF($C$31=0,0,VLOOKUP($C$31,Co_table,6))</f>
        <v>0</v>
      </c>
      <c r="L76" s="60">
        <f>IF($C$31=0,0,VLOOKUP($C$31,Co_table,7))</f>
        <v>0</v>
      </c>
      <c r="M76" s="60">
        <f>IF($C$31=0,0,VLOOKUP($C$31,Co_table,8))</f>
        <v>0</v>
      </c>
    </row>
    <row r="77" spans="6:13" ht="12.75" customHeight="1" x14ac:dyDescent="0.25">
      <c r="F77" s="5">
        <v>15</v>
      </c>
      <c r="G77" s="59">
        <f>IF($A$33=0,0,VLOOKUP($C$33,Co_table,2))</f>
        <v>0</v>
      </c>
      <c r="H77" s="60">
        <f>IF($A$33=0,0,VLOOKUP($C$33,Co_table,3))</f>
        <v>0</v>
      </c>
      <c r="I77" s="60">
        <f>IF($A$33=0,0,VLOOKUP($C$33,Co_table,4))</f>
        <v>0</v>
      </c>
      <c r="J77" s="60">
        <f>IF($A$33=0,0,VLOOKUP($C$33,Co_table,5))</f>
        <v>0</v>
      </c>
      <c r="K77" s="60">
        <f>IF($A$33=0,0,VLOOKUP($C$33,Co_table,6))</f>
        <v>0</v>
      </c>
      <c r="L77" s="60">
        <f>IF($A$33=0,0,VLOOKUP($C$33,Co_table,7))</f>
        <v>0</v>
      </c>
      <c r="M77" s="60">
        <f>IF($A$33=0,0,VLOOKUP($C$33,Co_table,8))</f>
        <v>0</v>
      </c>
    </row>
    <row r="78" spans="6:13" ht="12.75" customHeight="1" x14ac:dyDescent="0.25">
      <c r="F78" s="5">
        <v>16</v>
      </c>
      <c r="G78" s="59">
        <f>IF($C$35=0,0,VLOOKUP($C$35,Co_table,2))</f>
        <v>0</v>
      </c>
      <c r="H78" s="60">
        <f>IF($C$35=0,0,VLOOKUP($C$35,Co_table,3))</f>
        <v>0</v>
      </c>
      <c r="I78" s="60">
        <f>IF($C$35=0,0,VLOOKUP($C$35,Co_table,4))</f>
        <v>0</v>
      </c>
      <c r="J78" s="60">
        <f>IF($C$35=0,0,VLOOKUP($C$35,Co_table,5))</f>
        <v>0</v>
      </c>
      <c r="K78" s="60">
        <f>IF($C$35=0,0,VLOOKUP($C$35,Co_table,6))</f>
        <v>0</v>
      </c>
      <c r="L78" s="60">
        <f>IF($C$35=0,0,VLOOKUP($C$35,Co_table,7))</f>
        <v>0</v>
      </c>
      <c r="M78" s="60">
        <f>IF($C$35=0,0,VLOOKUP($C$35,Co_table,8))</f>
        <v>0</v>
      </c>
    </row>
    <row r="79" spans="6:13" ht="12.75" customHeight="1" x14ac:dyDescent="0.25">
      <c r="F79" s="5">
        <v>17</v>
      </c>
      <c r="G79" s="59" t="str">
        <f>IF($A$41=0,0,VLOOKUP($A$41,Co_table,2))</f>
        <v>Concrete Block, painted</v>
      </c>
      <c r="H79" s="60">
        <f>IF($A$41=0,0,VLOOKUP($A$41,Co_table,3))</f>
        <v>0.1</v>
      </c>
      <c r="I79" s="60">
        <f>IF($A$41=0,0,VLOOKUP($A$41,Co_table,4))</f>
        <v>0.05</v>
      </c>
      <c r="J79" s="60">
        <f>IF($A$41=0,0,VLOOKUP($A$41,Co_table,5))</f>
        <v>0.06</v>
      </c>
      <c r="K79" s="60">
        <f>IF($A$41=0,0,VLOOKUP($A$41,Co_table,6))</f>
        <v>7.0000000000000007E-2</v>
      </c>
      <c r="L79" s="60">
        <f>IF($A$41=0,0,VLOOKUP($A$41,Co_table,7))</f>
        <v>0.09</v>
      </c>
      <c r="M79" s="60">
        <f>IF($A$41=0,0,VLOOKUP($A$41,Co_table,8))</f>
        <v>0.08</v>
      </c>
    </row>
    <row r="80" spans="6:13" ht="12.75" customHeight="1" x14ac:dyDescent="0.25">
      <c r="F80" s="5">
        <v>18</v>
      </c>
      <c r="G80" s="59">
        <f>IF($A$43=0,0,VLOOKUP($A$43,Co_table,2))</f>
        <v>0</v>
      </c>
      <c r="H80" s="60">
        <f>IF($A$43=0,0,VLOOKUP($A$43,Co_table,3))</f>
        <v>0</v>
      </c>
      <c r="I80" s="60">
        <f>IF($A$43=0,0,VLOOKUP($A$43,Co_table,4))</f>
        <v>0</v>
      </c>
      <c r="J80" s="60">
        <f>IF($A$43=0,0,VLOOKUP($A$43,Co_table,5))</f>
        <v>0</v>
      </c>
      <c r="K80" s="60">
        <f>IF($A$43=0,0,VLOOKUP($A$43,Co_table,6))</f>
        <v>0</v>
      </c>
      <c r="L80" s="60">
        <f>IF($A$43=0,0,VLOOKUP($A$43,Co_table,7))</f>
        <v>0</v>
      </c>
      <c r="M80" s="60">
        <f>IF($A$43=0,0,VLOOKUP($A$43,Co_table,8))</f>
        <v>0</v>
      </c>
    </row>
    <row r="81" spans="6:13" ht="12.75" customHeight="1" x14ac:dyDescent="0.25">
      <c r="F81" s="5">
        <v>19</v>
      </c>
      <c r="G81" s="59">
        <f>IF($A$45=0,0,VLOOKUP($A$45,Co_table,2))</f>
        <v>0</v>
      </c>
      <c r="H81" s="60">
        <f>IF($A$45=0,0,VLOOKUP($A$45,Co_table,3))</f>
        <v>0</v>
      </c>
      <c r="I81" s="60">
        <f>IF($A$45=0,0,VLOOKUP($A$45,Co_table,4))</f>
        <v>0</v>
      </c>
      <c r="J81" s="60">
        <f>IF($A$45=0,0,VLOOKUP($A$45,Co_table,5))</f>
        <v>0</v>
      </c>
      <c r="K81" s="60">
        <f>IF($A$45=0,0,VLOOKUP($A$45,Co_table,6))</f>
        <v>0</v>
      </c>
      <c r="L81" s="60">
        <f>IF($A$45=0,0,VLOOKUP($A$45,Co_table,7))</f>
        <v>0</v>
      </c>
      <c r="M81" s="60">
        <f>IF($A$45=0,0,VLOOKUP($A$45,Co_table,8))</f>
        <v>0</v>
      </c>
    </row>
    <row r="82" spans="6:13" ht="12.75" customHeight="1" x14ac:dyDescent="0.25">
      <c r="F82" s="5">
        <v>20</v>
      </c>
      <c r="G82" s="59">
        <f>IF($A$47=0,0,VLOOKUP($A$47,Co_table,2))</f>
        <v>0</v>
      </c>
      <c r="H82" s="60">
        <f>IF($A$47=0,0,VLOOKUP($A$47,Co_table,3))</f>
        <v>0</v>
      </c>
      <c r="I82" s="60">
        <f>IF($A$47=0,0,VLOOKUP($A$47,Co_table,4))</f>
        <v>0</v>
      </c>
      <c r="J82" s="60">
        <f>IF($A$47=0,0,VLOOKUP($A$47,Co_table,5))</f>
        <v>0</v>
      </c>
      <c r="K82" s="60">
        <f>IF($A$47=0,0,VLOOKUP($A$47,Co_table,6))</f>
        <v>0</v>
      </c>
      <c r="L82" s="60">
        <f>IF($A$47=0,0,VLOOKUP($A$47,Co_table,7))</f>
        <v>0</v>
      </c>
      <c r="M82" s="60">
        <f>IF($A$47=0,0,VLOOKUP($A$47,Co_table,8))</f>
        <v>0</v>
      </c>
    </row>
    <row r="83" spans="6:13" ht="12.75" customHeight="1" x14ac:dyDescent="0.25">
      <c r="F83" s="5">
        <v>21</v>
      </c>
      <c r="G83" s="59" t="str">
        <f>IF($C$41=0,0,VLOOKUP($C$41,Co_table,2))</f>
        <v>Concrete Block, painted</v>
      </c>
      <c r="H83" s="60">
        <f>IF($C$41=0,0,VLOOKUP($C$41,Co_table,3))</f>
        <v>0.1</v>
      </c>
      <c r="I83" s="60">
        <f>IF($C$41=0,0,VLOOKUP($C$41,Co_table,4))</f>
        <v>0.05</v>
      </c>
      <c r="J83" s="60">
        <f>IF($C$41=0,0,VLOOKUP($C$41,Co_table,5))</f>
        <v>0.06</v>
      </c>
      <c r="K83" s="60">
        <f>IF($C$41=0,0,VLOOKUP($C$41,Co_table,6))</f>
        <v>7.0000000000000007E-2</v>
      </c>
      <c r="L83" s="60">
        <f>IF($C$41=0,0,VLOOKUP($C$41,Co_table,7))</f>
        <v>0.09</v>
      </c>
      <c r="M83" s="60">
        <f>IF($C$41=0,0,VLOOKUP($C$41,Co_table,8))</f>
        <v>0.08</v>
      </c>
    </row>
    <row r="84" spans="6:13" ht="12.75" customHeight="1" x14ac:dyDescent="0.25">
      <c r="F84" s="5">
        <v>22</v>
      </c>
      <c r="G84" s="59">
        <f>IF($C$43=0,0,VLOOKUP($C$43,Co_table,2))</f>
        <v>0</v>
      </c>
      <c r="H84" s="60">
        <f>IF($C$43=0,0,VLOOKUP($C$43,Co_table,3))</f>
        <v>0</v>
      </c>
      <c r="I84" s="60">
        <f>IF($C$43=0,0,VLOOKUP($C$43,Co_table,4))</f>
        <v>0</v>
      </c>
      <c r="J84" s="60">
        <f>IF($C$43=0,0,VLOOKUP($C$43,Co_table,5))</f>
        <v>0</v>
      </c>
      <c r="K84" s="60">
        <f>IF($C$43=0,0,VLOOKUP($C$43,Co_table,6))</f>
        <v>0</v>
      </c>
      <c r="L84" s="60">
        <f>IF($C$43=0,0,VLOOKUP($C$43,Co_table,7))</f>
        <v>0</v>
      </c>
      <c r="M84" s="60">
        <f>IF($C$43=0,0,VLOOKUP($C$43,Co_table,8))</f>
        <v>0</v>
      </c>
    </row>
    <row r="85" spans="6:13" ht="12.75" customHeight="1" x14ac:dyDescent="0.25">
      <c r="F85" s="5">
        <v>23</v>
      </c>
      <c r="G85" s="59">
        <f>IF($C$45=0,0,VLOOKUP($C$45,Co_table,2))</f>
        <v>0</v>
      </c>
      <c r="H85" s="60">
        <f>IF($C$45=0,0,VLOOKUP($C$45,Co_table,3))</f>
        <v>0</v>
      </c>
      <c r="I85" s="60">
        <f>IF($C$45=0,0,VLOOKUP($C$45,Co_table,4))</f>
        <v>0</v>
      </c>
      <c r="J85" s="60">
        <f>IF($C$45=0,0,VLOOKUP($C$45,Co_table,5))</f>
        <v>0</v>
      </c>
      <c r="K85" s="60">
        <f>IF($C$45=0,0,VLOOKUP($C$45,Co_table,6))</f>
        <v>0</v>
      </c>
      <c r="L85" s="60">
        <f>IF($C$45=0,0,VLOOKUP($C$45,Co_table,7))</f>
        <v>0</v>
      </c>
      <c r="M85" s="60">
        <f>IF($C$45=0,0,VLOOKUP($C$45,Co_table,8))</f>
        <v>0</v>
      </c>
    </row>
    <row r="86" spans="6:13" ht="12.75" customHeight="1" x14ac:dyDescent="0.25">
      <c r="F86" s="5">
        <v>24</v>
      </c>
      <c r="G86" s="59">
        <f>IF($C$47=0,0,VLOOKUP($C$47,Co_table,2))</f>
        <v>0</v>
      </c>
      <c r="H86" s="60">
        <f>IF($C$47=0,0,VLOOKUP($C$47,Co_table,3))</f>
        <v>0</v>
      </c>
      <c r="I86" s="60">
        <f>IF($C$47=0,0,VLOOKUP($C$47,Co_table,4))</f>
        <v>0</v>
      </c>
      <c r="J86" s="60">
        <f>IF($C$47=0,0,VLOOKUP($C$47,Co_table,5))</f>
        <v>0</v>
      </c>
      <c r="K86" s="60">
        <f>IF($C$47=0,0,VLOOKUP($C$47,Co_table,6))</f>
        <v>0</v>
      </c>
      <c r="L86" s="60">
        <f>IF($C$47=0,0,VLOOKUP($C$47,Co_table,7))</f>
        <v>0</v>
      </c>
      <c r="M86" s="60">
        <f>IF($C$47=0,0,VLOOKUP($C$47,Co_table,8))</f>
        <v>0</v>
      </c>
    </row>
    <row r="89" spans="6:13" ht="12.75" customHeight="1" x14ac:dyDescent="0.25">
      <c r="H89" s="62" t="s">
        <v>330</v>
      </c>
      <c r="I89" s="62" t="s">
        <v>331</v>
      </c>
      <c r="J89" s="62" t="s">
        <v>332</v>
      </c>
      <c r="K89" s="62" t="s">
        <v>333</v>
      </c>
      <c r="L89" s="62" t="s">
        <v>334</v>
      </c>
      <c r="M89" s="62" t="s">
        <v>335</v>
      </c>
    </row>
    <row r="90" spans="6:13" ht="12.75" customHeight="1" x14ac:dyDescent="0.25">
      <c r="F90" s="5">
        <v>1</v>
      </c>
      <c r="H90" s="60">
        <f t="shared" ref="H90:M90" si="0">$A$16*H63</f>
        <v>0.70762500000000006</v>
      </c>
      <c r="I90" s="60">
        <f t="shared" si="0"/>
        <v>0.70762500000000006</v>
      </c>
      <c r="J90" s="60">
        <f t="shared" si="0"/>
        <v>1.0614375</v>
      </c>
      <c r="K90" s="60">
        <f t="shared" si="0"/>
        <v>1.4152500000000001</v>
      </c>
      <c r="L90" s="60">
        <f t="shared" si="0"/>
        <v>1.4152500000000001</v>
      </c>
      <c r="M90" s="60">
        <f t="shared" si="0"/>
        <v>1.4152500000000001</v>
      </c>
    </row>
    <row r="91" spans="6:13" ht="12.75" customHeight="1" x14ac:dyDescent="0.25">
      <c r="F91" s="5">
        <v>2</v>
      </c>
      <c r="H91" s="60">
        <f t="shared" ref="H91:M91" si="1">$A$18*H64</f>
        <v>0</v>
      </c>
      <c r="I91" s="60">
        <f t="shared" si="1"/>
        <v>0</v>
      </c>
      <c r="J91" s="60">
        <f t="shared" si="1"/>
        <v>0</v>
      </c>
      <c r="K91" s="60">
        <f t="shared" si="1"/>
        <v>0</v>
      </c>
      <c r="L91" s="60">
        <f t="shared" si="1"/>
        <v>0</v>
      </c>
      <c r="M91" s="60">
        <f t="shared" si="1"/>
        <v>0</v>
      </c>
    </row>
    <row r="92" spans="6:13" ht="12.75" customHeight="1" x14ac:dyDescent="0.25">
      <c r="F92" s="5">
        <v>3</v>
      </c>
      <c r="H92" s="60">
        <f t="shared" ref="H92:M92" si="2">$A$20*H65</f>
        <v>0</v>
      </c>
      <c r="I92" s="60">
        <f t="shared" si="2"/>
        <v>0</v>
      </c>
      <c r="J92" s="60">
        <f t="shared" si="2"/>
        <v>0</v>
      </c>
      <c r="K92" s="60">
        <f t="shared" si="2"/>
        <v>0</v>
      </c>
      <c r="L92" s="60">
        <f t="shared" si="2"/>
        <v>0</v>
      </c>
      <c r="M92" s="60">
        <f t="shared" si="2"/>
        <v>0</v>
      </c>
    </row>
    <row r="93" spans="6:13" ht="12.75" customHeight="1" x14ac:dyDescent="0.25">
      <c r="F93" s="5">
        <v>4</v>
      </c>
      <c r="H93" s="60">
        <f t="shared" ref="H93:M93" si="3">$A$22*H66</f>
        <v>0</v>
      </c>
      <c r="I93" s="60">
        <f t="shared" si="3"/>
        <v>0</v>
      </c>
      <c r="J93" s="60">
        <f t="shared" si="3"/>
        <v>0</v>
      </c>
      <c r="K93" s="60">
        <f t="shared" si="3"/>
        <v>0</v>
      </c>
      <c r="L93" s="60">
        <f t="shared" si="3"/>
        <v>0</v>
      </c>
      <c r="M93" s="60">
        <f t="shared" si="3"/>
        <v>0</v>
      </c>
    </row>
    <row r="94" spans="6:13" ht="12.75" customHeight="1" x14ac:dyDescent="0.25">
      <c r="F94" s="5">
        <v>5</v>
      </c>
      <c r="H94" s="60">
        <f t="shared" ref="H94:M94" si="4">$C$16*H67</f>
        <v>7.0762500000000008</v>
      </c>
      <c r="I94" s="60">
        <f t="shared" si="4"/>
        <v>3.5381250000000004</v>
      </c>
      <c r="J94" s="60">
        <f t="shared" si="4"/>
        <v>4.2457500000000001</v>
      </c>
      <c r="K94" s="60">
        <f t="shared" si="4"/>
        <v>4.9533750000000003</v>
      </c>
      <c r="L94" s="60">
        <f t="shared" si="4"/>
        <v>6.3686249999999998</v>
      </c>
      <c r="M94" s="60">
        <f t="shared" si="4"/>
        <v>5.6610000000000005</v>
      </c>
    </row>
    <row r="95" spans="6:13" ht="12.75" customHeight="1" x14ac:dyDescent="0.25">
      <c r="F95" s="5">
        <v>6</v>
      </c>
      <c r="H95" s="60">
        <f t="shared" ref="H95:M95" si="5">$C$18*H68</f>
        <v>0</v>
      </c>
      <c r="I95" s="60">
        <f t="shared" si="5"/>
        <v>0</v>
      </c>
      <c r="J95" s="60">
        <f t="shared" si="5"/>
        <v>0</v>
      </c>
      <c r="K95" s="60">
        <f t="shared" si="5"/>
        <v>0</v>
      </c>
      <c r="L95" s="60">
        <f t="shared" si="5"/>
        <v>0</v>
      </c>
      <c r="M95" s="60">
        <f t="shared" si="5"/>
        <v>0</v>
      </c>
    </row>
    <row r="96" spans="6:13" ht="12.75" customHeight="1" x14ac:dyDescent="0.25">
      <c r="F96" s="5">
        <v>7</v>
      </c>
      <c r="H96" s="60">
        <f t="shared" ref="H96:M96" si="6">$C$20*H69</f>
        <v>0</v>
      </c>
      <c r="I96" s="60">
        <f t="shared" si="6"/>
        <v>0</v>
      </c>
      <c r="J96" s="60">
        <f t="shared" si="6"/>
        <v>0</v>
      </c>
      <c r="K96" s="60">
        <f t="shared" si="6"/>
        <v>0</v>
      </c>
      <c r="L96" s="60">
        <f t="shared" si="6"/>
        <v>0</v>
      </c>
      <c r="M96" s="60">
        <f t="shared" si="6"/>
        <v>0</v>
      </c>
    </row>
    <row r="97" spans="6:13" ht="12.75" customHeight="1" x14ac:dyDescent="0.25">
      <c r="F97" s="5">
        <v>8</v>
      </c>
      <c r="H97" s="60">
        <f t="shared" ref="H97:M97" si="7">$C$22*H70</f>
        <v>0</v>
      </c>
      <c r="I97" s="60">
        <f t="shared" si="7"/>
        <v>0</v>
      </c>
      <c r="J97" s="60">
        <f t="shared" si="7"/>
        <v>0</v>
      </c>
      <c r="K97" s="60">
        <f t="shared" si="7"/>
        <v>0</v>
      </c>
      <c r="L97" s="60">
        <f t="shared" si="7"/>
        <v>0</v>
      </c>
      <c r="M97" s="60">
        <f t="shared" si="7"/>
        <v>0</v>
      </c>
    </row>
    <row r="98" spans="6:13" ht="12.75" customHeight="1" x14ac:dyDescent="0.25">
      <c r="F98" s="5">
        <v>9</v>
      </c>
      <c r="H98" s="60">
        <f t="shared" ref="H98:M98" si="8">$A$28*H71</f>
        <v>2.4097500000000003</v>
      </c>
      <c r="I98" s="60">
        <f t="shared" si="8"/>
        <v>1.2048750000000001</v>
      </c>
      <c r="J98" s="60">
        <f t="shared" si="8"/>
        <v>1.4458499999999999</v>
      </c>
      <c r="K98" s="60">
        <f t="shared" si="8"/>
        <v>1.6868250000000002</v>
      </c>
      <c r="L98" s="60">
        <f t="shared" si="8"/>
        <v>2.1687750000000001</v>
      </c>
      <c r="M98" s="60">
        <f t="shared" si="8"/>
        <v>1.9278</v>
      </c>
    </row>
    <row r="99" spans="6:13" ht="12.75" customHeight="1" x14ac:dyDescent="0.25">
      <c r="F99" s="5">
        <v>10</v>
      </c>
      <c r="H99" s="60">
        <f t="shared" ref="H99:M99" si="9">$A$30*H72</f>
        <v>0</v>
      </c>
      <c r="I99" s="60">
        <f t="shared" si="9"/>
        <v>0</v>
      </c>
      <c r="J99" s="60">
        <f t="shared" si="9"/>
        <v>0</v>
      </c>
      <c r="K99" s="60">
        <f t="shared" si="9"/>
        <v>0</v>
      </c>
      <c r="L99" s="60">
        <f t="shared" si="9"/>
        <v>0</v>
      </c>
      <c r="M99" s="60">
        <f t="shared" si="9"/>
        <v>0</v>
      </c>
    </row>
    <row r="100" spans="6:13" ht="12.75" customHeight="1" x14ac:dyDescent="0.25">
      <c r="F100" s="5">
        <v>11</v>
      </c>
      <c r="H100" s="60">
        <f t="shared" ref="H100:M100" si="10">$A$32*H73</f>
        <v>0</v>
      </c>
      <c r="I100" s="60">
        <f t="shared" si="10"/>
        <v>0</v>
      </c>
      <c r="J100" s="60">
        <f t="shared" si="10"/>
        <v>0</v>
      </c>
      <c r="K100" s="60">
        <f t="shared" si="10"/>
        <v>0</v>
      </c>
      <c r="L100" s="60">
        <f t="shared" si="10"/>
        <v>0</v>
      </c>
      <c r="M100" s="60">
        <f t="shared" si="10"/>
        <v>0</v>
      </c>
    </row>
    <row r="101" spans="6:13" ht="12.75" customHeight="1" x14ac:dyDescent="0.25">
      <c r="F101" s="5">
        <v>12</v>
      </c>
      <c r="H101" s="60">
        <f t="shared" ref="H101:M101" si="11">$A$34*H74</f>
        <v>0</v>
      </c>
      <c r="I101" s="60">
        <f t="shared" si="11"/>
        <v>0</v>
      </c>
      <c r="J101" s="60">
        <f t="shared" si="11"/>
        <v>0</v>
      </c>
      <c r="K101" s="60">
        <f t="shared" si="11"/>
        <v>0</v>
      </c>
      <c r="L101" s="60">
        <f t="shared" si="11"/>
        <v>0</v>
      </c>
      <c r="M101" s="60">
        <f t="shared" si="11"/>
        <v>0</v>
      </c>
    </row>
    <row r="102" spans="6:13" ht="12.75" customHeight="1" x14ac:dyDescent="0.25">
      <c r="F102" s="5">
        <v>13</v>
      </c>
      <c r="H102" s="60">
        <f t="shared" ref="H102:M102" si="12">$C$28*H75</f>
        <v>2.4097500000000003</v>
      </c>
      <c r="I102" s="60">
        <f t="shared" si="12"/>
        <v>1.2048750000000001</v>
      </c>
      <c r="J102" s="60">
        <f t="shared" si="12"/>
        <v>1.4458499999999999</v>
      </c>
      <c r="K102" s="60">
        <f t="shared" si="12"/>
        <v>1.6868250000000002</v>
      </c>
      <c r="L102" s="60">
        <f t="shared" si="12"/>
        <v>2.1687750000000001</v>
      </c>
      <c r="M102" s="60">
        <f t="shared" si="12"/>
        <v>1.9278</v>
      </c>
    </row>
    <row r="103" spans="6:13" ht="12.75" customHeight="1" x14ac:dyDescent="0.25">
      <c r="F103" s="5">
        <v>14</v>
      </c>
      <c r="H103" s="60">
        <f t="shared" ref="H103:M103" si="13">$C$30*H76</f>
        <v>0</v>
      </c>
      <c r="I103" s="60">
        <f t="shared" si="13"/>
        <v>0</v>
      </c>
      <c r="J103" s="60">
        <f t="shared" si="13"/>
        <v>0</v>
      </c>
      <c r="K103" s="60">
        <f t="shared" si="13"/>
        <v>0</v>
      </c>
      <c r="L103" s="60">
        <f t="shared" si="13"/>
        <v>0</v>
      </c>
      <c r="M103" s="60">
        <f t="shared" si="13"/>
        <v>0</v>
      </c>
    </row>
    <row r="104" spans="6:13" ht="12.75" customHeight="1" x14ac:dyDescent="0.25">
      <c r="F104" s="5">
        <v>15</v>
      </c>
      <c r="H104" s="60">
        <f t="shared" ref="H104:M104" si="14">$C$32*H77</f>
        <v>0</v>
      </c>
      <c r="I104" s="60">
        <f t="shared" si="14"/>
        <v>0</v>
      </c>
      <c r="J104" s="60">
        <f t="shared" si="14"/>
        <v>0</v>
      </c>
      <c r="K104" s="60">
        <f t="shared" si="14"/>
        <v>0</v>
      </c>
      <c r="L104" s="60">
        <f t="shared" si="14"/>
        <v>0</v>
      </c>
      <c r="M104" s="60">
        <f t="shared" si="14"/>
        <v>0</v>
      </c>
    </row>
    <row r="105" spans="6:13" ht="12.75" customHeight="1" x14ac:dyDescent="0.25">
      <c r="F105" s="5">
        <v>16</v>
      </c>
      <c r="H105" s="60">
        <f t="shared" ref="H105:M105" si="15">$C$34*H78</f>
        <v>0</v>
      </c>
      <c r="I105" s="60">
        <f t="shared" si="15"/>
        <v>0</v>
      </c>
      <c r="J105" s="60">
        <f t="shared" si="15"/>
        <v>0</v>
      </c>
      <c r="K105" s="60">
        <f t="shared" si="15"/>
        <v>0</v>
      </c>
      <c r="L105" s="60">
        <f t="shared" si="15"/>
        <v>0</v>
      </c>
      <c r="M105" s="60">
        <f t="shared" si="15"/>
        <v>0</v>
      </c>
    </row>
    <row r="106" spans="6:13" ht="12.75" customHeight="1" x14ac:dyDescent="0.25">
      <c r="F106" s="5">
        <v>17</v>
      </c>
      <c r="H106" s="60">
        <f t="shared" ref="H106:M106" si="16">$A$40*H79</f>
        <v>2.9137500000000003</v>
      </c>
      <c r="I106" s="60">
        <f t="shared" si="16"/>
        <v>1.4568750000000001</v>
      </c>
      <c r="J106" s="60">
        <f t="shared" si="16"/>
        <v>1.7482499999999999</v>
      </c>
      <c r="K106" s="60">
        <f t="shared" si="16"/>
        <v>2.039625</v>
      </c>
      <c r="L106" s="60">
        <f t="shared" si="16"/>
        <v>2.6223749999999999</v>
      </c>
      <c r="M106" s="60">
        <f t="shared" si="16"/>
        <v>2.331</v>
      </c>
    </row>
    <row r="107" spans="6:13" ht="12.75" customHeight="1" x14ac:dyDescent="0.25">
      <c r="F107" s="5">
        <v>18</v>
      </c>
      <c r="H107" s="60">
        <f t="shared" ref="H107:M107" si="17">$A$42*H80</f>
        <v>0</v>
      </c>
      <c r="I107" s="60">
        <f t="shared" si="17"/>
        <v>0</v>
      </c>
      <c r="J107" s="60">
        <f t="shared" si="17"/>
        <v>0</v>
      </c>
      <c r="K107" s="60">
        <f t="shared" si="17"/>
        <v>0</v>
      </c>
      <c r="L107" s="60">
        <f t="shared" si="17"/>
        <v>0</v>
      </c>
      <c r="M107" s="60">
        <f t="shared" si="17"/>
        <v>0</v>
      </c>
    </row>
    <row r="108" spans="6:13" ht="12.75" customHeight="1" x14ac:dyDescent="0.25">
      <c r="F108" s="5">
        <v>19</v>
      </c>
      <c r="H108" s="60">
        <f t="shared" ref="H108:M108" si="18">$A$44*H81</f>
        <v>0</v>
      </c>
      <c r="I108" s="60">
        <f t="shared" si="18"/>
        <v>0</v>
      </c>
      <c r="J108" s="60">
        <f t="shared" si="18"/>
        <v>0</v>
      </c>
      <c r="K108" s="60">
        <f t="shared" si="18"/>
        <v>0</v>
      </c>
      <c r="L108" s="60">
        <f t="shared" si="18"/>
        <v>0</v>
      </c>
      <c r="M108" s="60">
        <f t="shared" si="18"/>
        <v>0</v>
      </c>
    </row>
    <row r="109" spans="6:13" ht="12.75" customHeight="1" x14ac:dyDescent="0.25">
      <c r="F109" s="5">
        <v>20</v>
      </c>
      <c r="H109" s="60">
        <f t="shared" ref="H109:M109" si="19">$A$46*H82</f>
        <v>0</v>
      </c>
      <c r="I109" s="60">
        <f t="shared" si="19"/>
        <v>0</v>
      </c>
      <c r="J109" s="60">
        <f t="shared" si="19"/>
        <v>0</v>
      </c>
      <c r="K109" s="60">
        <f t="shared" si="19"/>
        <v>0</v>
      </c>
      <c r="L109" s="60">
        <f t="shared" si="19"/>
        <v>0</v>
      </c>
      <c r="M109" s="60">
        <f t="shared" si="19"/>
        <v>0</v>
      </c>
    </row>
    <row r="110" spans="6:13" ht="12.75" customHeight="1" x14ac:dyDescent="0.25">
      <c r="F110" s="5">
        <v>21</v>
      </c>
      <c r="H110" s="60">
        <f t="shared" ref="H110:M110" si="20">$C$40*H83</f>
        <v>2.9137500000000003</v>
      </c>
      <c r="I110" s="60">
        <f t="shared" si="20"/>
        <v>1.4568750000000001</v>
      </c>
      <c r="J110" s="60">
        <f t="shared" si="20"/>
        <v>1.7482499999999999</v>
      </c>
      <c r="K110" s="60">
        <f t="shared" si="20"/>
        <v>2.039625</v>
      </c>
      <c r="L110" s="60">
        <f t="shared" si="20"/>
        <v>2.6223749999999999</v>
      </c>
      <c r="M110" s="60">
        <f t="shared" si="20"/>
        <v>2.331</v>
      </c>
    </row>
    <row r="111" spans="6:13" ht="12.75" customHeight="1" x14ac:dyDescent="0.25">
      <c r="F111" s="5">
        <v>22</v>
      </c>
      <c r="H111" s="60">
        <f t="shared" ref="H111:M111" si="21">$C$42*H84</f>
        <v>0</v>
      </c>
      <c r="I111" s="60">
        <f t="shared" si="21"/>
        <v>0</v>
      </c>
      <c r="J111" s="60">
        <f t="shared" si="21"/>
        <v>0</v>
      </c>
      <c r="K111" s="60">
        <f t="shared" si="21"/>
        <v>0</v>
      </c>
      <c r="L111" s="60">
        <f t="shared" si="21"/>
        <v>0</v>
      </c>
      <c r="M111" s="60">
        <f t="shared" si="21"/>
        <v>0</v>
      </c>
    </row>
    <row r="112" spans="6:13" ht="12.75" customHeight="1" x14ac:dyDescent="0.25">
      <c r="F112" s="5">
        <v>23</v>
      </c>
      <c r="H112" s="60">
        <f t="shared" ref="H112:M112" si="22">$C$44*H85</f>
        <v>0</v>
      </c>
      <c r="I112" s="60">
        <f t="shared" si="22"/>
        <v>0</v>
      </c>
      <c r="J112" s="60">
        <f t="shared" si="22"/>
        <v>0</v>
      </c>
      <c r="K112" s="60">
        <f t="shared" si="22"/>
        <v>0</v>
      </c>
      <c r="L112" s="60">
        <f t="shared" si="22"/>
        <v>0</v>
      </c>
      <c r="M112" s="60">
        <f t="shared" si="22"/>
        <v>0</v>
      </c>
    </row>
    <row r="113" spans="6:13" ht="12.75" customHeight="1" x14ac:dyDescent="0.25">
      <c r="F113" s="5">
        <v>24</v>
      </c>
      <c r="H113" s="60">
        <f t="shared" ref="H113:M113" si="23">$C$469*H86</f>
        <v>0</v>
      </c>
      <c r="I113" s="60">
        <f t="shared" si="23"/>
        <v>0</v>
      </c>
      <c r="J113" s="60">
        <f t="shared" si="23"/>
        <v>0</v>
      </c>
      <c r="K113" s="60">
        <f t="shared" si="23"/>
        <v>0</v>
      </c>
      <c r="L113" s="60">
        <f t="shared" si="23"/>
        <v>0</v>
      </c>
      <c r="M113" s="60">
        <f t="shared" si="23"/>
        <v>0</v>
      </c>
    </row>
    <row r="114" spans="6:13" ht="12.75" customHeight="1" x14ac:dyDescent="0.25">
      <c r="G114" s="1" t="s">
        <v>420</v>
      </c>
      <c r="H114" s="60">
        <f t="shared" ref="H114:M114" si="24">SUM(H90:H113)/$A$6</f>
        <v>7.431954273271639E-2</v>
      </c>
      <c r="I114" s="60">
        <f t="shared" si="24"/>
        <v>3.8586463436762836E-2</v>
      </c>
      <c r="J114" s="60">
        <f t="shared" si="24"/>
        <v>4.7159771366358197E-2</v>
      </c>
      <c r="K114" s="60">
        <f t="shared" si="24"/>
        <v>5.5733079295953551E-2</v>
      </c>
      <c r="L114" s="60">
        <f t="shared" si="24"/>
        <v>7.0026311014334958E-2</v>
      </c>
      <c r="M114" s="60">
        <f t="shared" si="24"/>
        <v>6.2879695155144258E-2</v>
      </c>
    </row>
    <row r="116" spans="6:13" ht="12.75" customHeight="1" x14ac:dyDescent="0.25">
      <c r="G116" s="63" t="s">
        <v>422</v>
      </c>
      <c r="H116" s="60">
        <f t="shared" ref="H116:M116" si="25">(55.54*$A$7)/($A$8*$A$6*H114)</f>
        <v>1.9583013502049782</v>
      </c>
      <c r="I116" s="60">
        <f t="shared" si="25"/>
        <v>3.771790620786287</v>
      </c>
      <c r="J116" s="60">
        <f t="shared" si="25"/>
        <v>3.0861061591981604</v>
      </c>
      <c r="K116" s="60">
        <f t="shared" si="25"/>
        <v>2.6113766315916065</v>
      </c>
      <c r="L116" s="60">
        <f t="shared" si="25"/>
        <v>2.0783625293398913</v>
      </c>
      <c r="M116" s="60">
        <f t="shared" si="25"/>
        <v>2.3145796193986206</v>
      </c>
    </row>
  </sheetData>
  <sheetProtection sheet="1" objects="1" scenarios="1"/>
  <protectedRanges>
    <protectedRange sqref="A3:A5 A16:A23 C16:C23 A28:A35 C28:C35 A40:A47 C40:C47 A8" name="Range1"/>
  </protectedRanges>
  <phoneticPr fontId="3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workbookViewId="0">
      <selection activeCell="B4" sqref="B4"/>
    </sheetView>
  </sheetViews>
  <sheetFormatPr defaultRowHeight="13.2" x14ac:dyDescent="0.25"/>
  <cols>
    <col min="2" max="2" width="10.5546875" bestFit="1" customWidth="1"/>
    <col min="15" max="15" width="14.109375" bestFit="1" customWidth="1"/>
  </cols>
  <sheetData>
    <row r="1" spans="1:9" x14ac:dyDescent="0.25">
      <c r="A1" s="4" t="s">
        <v>61</v>
      </c>
    </row>
    <row r="3" spans="1:9" x14ac:dyDescent="0.25">
      <c r="A3" s="4" t="s">
        <v>62</v>
      </c>
      <c r="G3" s="4" t="s">
        <v>69</v>
      </c>
    </row>
    <row r="4" spans="1:9" x14ac:dyDescent="0.25">
      <c r="A4" s="1" t="s">
        <v>63</v>
      </c>
      <c r="B4" s="3">
        <v>3</v>
      </c>
      <c r="C4" t="s">
        <v>250</v>
      </c>
      <c r="G4" t="s">
        <v>63</v>
      </c>
      <c r="H4" s="3">
        <v>100</v>
      </c>
      <c r="I4" t="s">
        <v>254</v>
      </c>
    </row>
    <row r="5" spans="1:9" x14ac:dyDescent="0.25">
      <c r="A5" s="1" t="s">
        <v>64</v>
      </c>
      <c r="B5" s="3">
        <v>6</v>
      </c>
      <c r="C5" t="s">
        <v>251</v>
      </c>
      <c r="G5" t="s">
        <v>65</v>
      </c>
      <c r="H5" s="3">
        <v>-3</v>
      </c>
      <c r="I5" t="s">
        <v>66</v>
      </c>
    </row>
    <row r="6" spans="1:9" x14ac:dyDescent="0.25">
      <c r="A6" s="1"/>
      <c r="B6" s="10">
        <f>IF(B5=0,0,10*LOG(B5/B4))</f>
        <v>3.0102999566398121</v>
      </c>
      <c r="C6" t="s">
        <v>66</v>
      </c>
      <c r="H6" s="10">
        <f>IF(H5=0,0,(10^(H5/10))*H4)</f>
        <v>50.118723362727224</v>
      </c>
      <c r="I6" t="s">
        <v>255</v>
      </c>
    </row>
    <row r="9" spans="1:9" x14ac:dyDescent="0.25">
      <c r="A9" s="4" t="s">
        <v>67</v>
      </c>
      <c r="G9" s="4" t="s">
        <v>70</v>
      </c>
    </row>
    <row r="10" spans="1:9" x14ac:dyDescent="0.25">
      <c r="A10" s="1" t="s">
        <v>63</v>
      </c>
      <c r="B10" s="3">
        <v>3</v>
      </c>
      <c r="C10" t="s">
        <v>250</v>
      </c>
      <c r="G10" t="s">
        <v>63</v>
      </c>
      <c r="H10" s="3">
        <v>100</v>
      </c>
      <c r="I10" t="s">
        <v>256</v>
      </c>
    </row>
    <row r="11" spans="1:9" x14ac:dyDescent="0.25">
      <c r="A11" s="1" t="s">
        <v>64</v>
      </c>
      <c r="B11" s="3">
        <v>6</v>
      </c>
      <c r="C11" t="s">
        <v>251</v>
      </c>
      <c r="G11" t="s">
        <v>65</v>
      </c>
      <c r="H11" s="3">
        <v>-3</v>
      </c>
      <c r="I11" t="s">
        <v>66</v>
      </c>
    </row>
    <row r="12" spans="1:9" x14ac:dyDescent="0.25">
      <c r="A12" s="1"/>
      <c r="B12" s="10">
        <f>IF(B11=0,0,20*LOG(B11/B10))</f>
        <v>6.0205999132796242</v>
      </c>
      <c r="C12" t="s">
        <v>66</v>
      </c>
      <c r="H12" s="10">
        <f>IF(H11=0,0,(10^(H11/20))*H10)</f>
        <v>70.794578438413794</v>
      </c>
      <c r="I12" t="s">
        <v>72</v>
      </c>
    </row>
    <row r="15" spans="1:9" x14ac:dyDescent="0.25">
      <c r="A15" s="4" t="s">
        <v>68</v>
      </c>
      <c r="G15" s="4" t="s">
        <v>71</v>
      </c>
    </row>
    <row r="16" spans="1:9" x14ac:dyDescent="0.25">
      <c r="A16" s="1" t="s">
        <v>63</v>
      </c>
      <c r="B16" s="3">
        <v>3</v>
      </c>
      <c r="C16" t="s">
        <v>250</v>
      </c>
      <c r="G16" t="s">
        <v>63</v>
      </c>
      <c r="H16" s="3">
        <v>100</v>
      </c>
      <c r="I16" t="s">
        <v>257</v>
      </c>
    </row>
    <row r="17" spans="1:9" x14ac:dyDescent="0.25">
      <c r="A17" s="1" t="s">
        <v>64</v>
      </c>
      <c r="B17" s="3">
        <v>6</v>
      </c>
      <c r="C17" t="s">
        <v>251</v>
      </c>
      <c r="G17" t="s">
        <v>65</v>
      </c>
      <c r="H17" s="3">
        <v>6</v>
      </c>
      <c r="I17" t="s">
        <v>66</v>
      </c>
    </row>
    <row r="18" spans="1:9" x14ac:dyDescent="0.25">
      <c r="A18" s="1"/>
      <c r="B18" s="10">
        <f>IF(B17=0,0,20*LOG(B16/B17))</f>
        <v>-6.0205999132796242</v>
      </c>
      <c r="C18" t="s">
        <v>66</v>
      </c>
      <c r="H18" s="10">
        <f>IF(H17=0,0,(10^(H17/-20))*H16)</f>
        <v>50.118723362727224</v>
      </c>
      <c r="I18" t="s">
        <v>73</v>
      </c>
    </row>
    <row r="21" spans="1:9" x14ac:dyDescent="0.25">
      <c r="A21" s="4" t="s">
        <v>173</v>
      </c>
      <c r="G21" s="4" t="s">
        <v>174</v>
      </c>
    </row>
    <row r="22" spans="1:9" x14ac:dyDescent="0.25">
      <c r="A22" s="1"/>
      <c r="B22" s="3">
        <v>24</v>
      </c>
      <c r="C22" t="s">
        <v>95</v>
      </c>
      <c r="G22" s="3">
        <v>24</v>
      </c>
      <c r="H22" t="s">
        <v>96</v>
      </c>
    </row>
    <row r="23" spans="1:9" x14ac:dyDescent="0.25">
      <c r="A23" s="1"/>
      <c r="B23" s="10">
        <v>1</v>
      </c>
      <c r="C23" t="s">
        <v>252</v>
      </c>
      <c r="G23" s="45">
        <v>0.77500000000000002</v>
      </c>
      <c r="H23" t="s">
        <v>253</v>
      </c>
    </row>
    <row r="24" spans="1:9" x14ac:dyDescent="0.25">
      <c r="A24" s="1"/>
      <c r="B24" s="12">
        <f>IF(B22=0,0,10^(B22/20)*B23)</f>
        <v>15.848931924611136</v>
      </c>
      <c r="C24" t="s">
        <v>129</v>
      </c>
      <c r="G24" s="12">
        <f>IF(G22=0,0,10^(G22/20)*G23)</f>
        <v>12.282922241573631</v>
      </c>
      <c r="H24" t="s">
        <v>129</v>
      </c>
    </row>
    <row r="25" spans="1:9" x14ac:dyDescent="0.25">
      <c r="A25" s="1"/>
      <c r="B25" s="10"/>
      <c r="G25" s="1"/>
      <c r="H25" s="10"/>
    </row>
    <row r="26" spans="1:9" x14ac:dyDescent="0.25">
      <c r="A26" s="1"/>
      <c r="B26" s="10"/>
      <c r="G26" s="1"/>
      <c r="H26" s="10"/>
    </row>
    <row r="27" spans="1:9" x14ac:dyDescent="0.25">
      <c r="A27" s="18" t="s">
        <v>97</v>
      </c>
      <c r="B27" s="10"/>
      <c r="G27" s="1"/>
      <c r="H27" s="10"/>
    </row>
    <row r="28" spans="1:9" x14ac:dyDescent="0.25">
      <c r="A28" s="1"/>
      <c r="B28" s="20">
        <v>98</v>
      </c>
      <c r="C28" t="s">
        <v>98</v>
      </c>
      <c r="G28" s="1"/>
      <c r="H28" s="10"/>
    </row>
    <row r="29" spans="1:9" x14ac:dyDescent="0.25">
      <c r="A29" s="1"/>
      <c r="B29" s="19">
        <v>1</v>
      </c>
      <c r="C29" t="s">
        <v>99</v>
      </c>
      <c r="G29" s="1"/>
      <c r="H29" s="10"/>
    </row>
    <row r="30" spans="1:9" x14ac:dyDescent="0.25">
      <c r="A30" s="1"/>
      <c r="B30" s="19">
        <v>1</v>
      </c>
      <c r="C30" t="s">
        <v>100</v>
      </c>
      <c r="G30" s="1"/>
      <c r="H30" s="10"/>
    </row>
    <row r="31" spans="1:9" x14ac:dyDescent="0.25">
      <c r="A31" s="1"/>
      <c r="B31" s="19">
        <v>10</v>
      </c>
      <c r="C31" t="s">
        <v>218</v>
      </c>
      <c r="G31" s="1"/>
      <c r="H31" s="10"/>
    </row>
    <row r="32" spans="1:9" x14ac:dyDescent="0.25">
      <c r="A32" s="1"/>
      <c r="B32" s="19">
        <v>72</v>
      </c>
      <c r="C32" t="s">
        <v>101</v>
      </c>
      <c r="G32" s="1"/>
      <c r="H32" s="10"/>
    </row>
    <row r="33" spans="1:15" x14ac:dyDescent="0.25">
      <c r="A33" s="1"/>
      <c r="B33" s="19">
        <v>9</v>
      </c>
      <c r="C33" t="s">
        <v>128</v>
      </c>
    </row>
    <row r="34" spans="1:15" x14ac:dyDescent="0.25">
      <c r="A34" s="1"/>
      <c r="B34" s="22">
        <f>-B28+(20*LOG(B31/B29))+B32+B33</f>
        <v>3</v>
      </c>
      <c r="C34" t="s">
        <v>102</v>
      </c>
      <c r="H34" s="10"/>
    </row>
    <row r="35" spans="1:15" x14ac:dyDescent="0.25">
      <c r="A35" s="1"/>
      <c r="B35" s="22">
        <f>10^(B34/10)</f>
        <v>1.9952623149688797</v>
      </c>
      <c r="C35" t="s">
        <v>104</v>
      </c>
      <c r="G35" s="1"/>
      <c r="H35" s="10"/>
      <c r="I35" s="10"/>
    </row>
    <row r="36" spans="1:15" x14ac:dyDescent="0.25">
      <c r="A36" s="1"/>
      <c r="B36" s="22"/>
      <c r="G36" s="1"/>
      <c r="H36" s="10"/>
      <c r="I36" s="10"/>
    </row>
    <row r="37" spans="1:15" x14ac:dyDescent="0.25">
      <c r="A37" s="1"/>
      <c r="B37" s="22"/>
      <c r="G37" s="1"/>
      <c r="H37" s="10"/>
      <c r="I37" s="10"/>
    </row>
    <row r="38" spans="1:15" x14ac:dyDescent="0.25">
      <c r="A38" s="18" t="s">
        <v>322</v>
      </c>
      <c r="B38" s="22"/>
      <c r="G38" s="1"/>
      <c r="H38" s="10"/>
      <c r="I38" s="10"/>
    </row>
    <row r="39" spans="1:15" x14ac:dyDescent="0.25">
      <c r="A39" s="1"/>
      <c r="B39" s="19">
        <v>-1</v>
      </c>
      <c r="C39" t="s">
        <v>320</v>
      </c>
      <c r="G39" s="1"/>
      <c r="H39" s="10"/>
      <c r="I39" s="10"/>
    </row>
    <row r="40" spans="1:15" x14ac:dyDescent="0.25">
      <c r="A40" s="1"/>
      <c r="B40" s="22">
        <f>10^((B39/1)/10)</f>
        <v>0.79432823472428149</v>
      </c>
      <c r="C40" t="s">
        <v>323</v>
      </c>
      <c r="G40" s="1"/>
      <c r="H40" s="10"/>
      <c r="I40" s="10"/>
    </row>
    <row r="41" spans="1:15" x14ac:dyDescent="0.25">
      <c r="A41" s="1"/>
      <c r="B41" s="10">
        <f>B40-1</f>
        <v>-0.20567176527571851</v>
      </c>
      <c r="C41" t="s">
        <v>321</v>
      </c>
      <c r="G41" s="1"/>
      <c r="H41" s="10"/>
    </row>
    <row r="42" spans="1:15" x14ac:dyDescent="0.25">
      <c r="B42" s="58">
        <f>B40/1</f>
        <v>0.79432823472428149</v>
      </c>
      <c r="C42" t="s">
        <v>324</v>
      </c>
      <c r="G42" s="1"/>
      <c r="H42" s="10"/>
    </row>
    <row r="43" spans="1:15" x14ac:dyDescent="0.25">
      <c r="B43" s="58"/>
      <c r="G43" s="1"/>
      <c r="H43" s="10"/>
    </row>
    <row r="45" spans="1:15" x14ac:dyDescent="0.25">
      <c r="A45" s="4" t="s">
        <v>78</v>
      </c>
    </row>
    <row r="46" spans="1:15" x14ac:dyDescent="0.25">
      <c r="A46" t="s">
        <v>79</v>
      </c>
      <c r="B46" s="3">
        <v>40</v>
      </c>
      <c r="C46" t="s">
        <v>85</v>
      </c>
    </row>
    <row r="47" spans="1:15" x14ac:dyDescent="0.25">
      <c r="A47" t="s">
        <v>80</v>
      </c>
      <c r="B47" s="3">
        <v>10</v>
      </c>
      <c r="C47" t="s">
        <v>86</v>
      </c>
      <c r="O47" s="32"/>
    </row>
    <row r="48" spans="1:15" x14ac:dyDescent="0.25">
      <c r="A48" t="s">
        <v>81</v>
      </c>
      <c r="B48" s="3">
        <v>55</v>
      </c>
      <c r="C48" t="s">
        <v>87</v>
      </c>
    </row>
    <row r="49" spans="1:3" x14ac:dyDescent="0.25">
      <c r="A49" t="s">
        <v>83</v>
      </c>
      <c r="B49" s="3">
        <v>2</v>
      </c>
      <c r="C49" t="s">
        <v>88</v>
      </c>
    </row>
    <row r="50" spans="1:3" x14ac:dyDescent="0.25">
      <c r="A50" t="s">
        <v>84</v>
      </c>
      <c r="B50" s="3">
        <v>50</v>
      </c>
      <c r="C50" t="s">
        <v>90</v>
      </c>
    </row>
    <row r="51" spans="1:3" x14ac:dyDescent="0.25">
      <c r="A51" t="s">
        <v>82</v>
      </c>
      <c r="B51" s="3">
        <v>6</v>
      </c>
      <c r="C51" t="s">
        <v>89</v>
      </c>
    </row>
    <row r="52" spans="1:3" x14ac:dyDescent="0.25">
      <c r="A52" t="s">
        <v>93</v>
      </c>
      <c r="B52" s="3">
        <v>1</v>
      </c>
      <c r="C52" t="s">
        <v>94</v>
      </c>
    </row>
    <row r="53" spans="1:3" x14ac:dyDescent="0.25">
      <c r="A53" t="s">
        <v>91</v>
      </c>
      <c r="B53" s="10">
        <f>(20*LOG(B46))+(20*LOG(B47))-(20*LOG(B49))-(20*LOG(B48))-(B51)-(10*LOG(B52))</f>
        <v>5.2133461233947429</v>
      </c>
    </row>
    <row r="54" spans="1:3" x14ac:dyDescent="0.25">
      <c r="A54" t="s">
        <v>92</v>
      </c>
      <c r="B54" s="10">
        <f>(20*LOG(B46))-(20*LOG(B50))</f>
        <v>-1.9382002601611319</v>
      </c>
    </row>
    <row r="55" spans="1:3" x14ac:dyDescent="0.25">
      <c r="B55" s="10">
        <f>B53-B54</f>
        <v>7.1515463835558748</v>
      </c>
      <c r="C55" t="str">
        <f>"&lt;=="&amp;IF(B55&gt;=0,"Great!","Feedback Potential")</f>
        <v>&lt;==Great!</v>
      </c>
    </row>
  </sheetData>
  <sheetProtection sheet="1" objects="1" scenarios="1"/>
  <protectedRanges>
    <protectedRange sqref="B4:B5 H4:H5 H10:H11 H16:H17 B10:B11 B16:B17 B22 B46:B52 B28:B33 G22 B39" name="Range1"/>
  </protectedRanges>
  <phoneticPr fontId="3" type="noConversion"/>
  <pageMargins left="0.75" right="0.75" top="1" bottom="1" header="0.5" footer="0.5"/>
  <pageSetup orientation="portrait" r:id="rId1"/>
  <headerFooter alignWithMargins="0">
    <oddFooter>&amp;C©2009, InfoComm International®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11</vt:i4>
      </vt:variant>
    </vt:vector>
  </HeadingPairs>
  <TitlesOfParts>
    <vt:vector size="27" baseType="lpstr">
      <vt:lpstr>PJ Calc</vt:lpstr>
      <vt:lpstr>Contrast</vt:lpstr>
      <vt:lpstr>Ohms Law</vt:lpstr>
      <vt:lpstr>Ceiling Spkr</vt:lpstr>
      <vt:lpstr>Z Values</vt:lpstr>
      <vt:lpstr>Wavelength</vt:lpstr>
      <vt:lpstr>Room Mode</vt:lpstr>
      <vt:lpstr>RT60</vt:lpstr>
      <vt:lpstr>Decibels</vt:lpstr>
      <vt:lpstr>Lens</vt:lpstr>
      <vt:lpstr>Conduit</vt:lpstr>
      <vt:lpstr>Cable</vt:lpstr>
      <vt:lpstr>Encoding</vt:lpstr>
      <vt:lpstr>ACU</vt:lpstr>
      <vt:lpstr>EPR</vt:lpstr>
      <vt:lpstr>Pads</vt:lpstr>
      <vt:lpstr>Co_table</vt:lpstr>
      <vt:lpstr>Cable!Print_Area</vt:lpstr>
      <vt:lpstr>'Ceiling Spkr'!Print_Area</vt:lpstr>
      <vt:lpstr>Conduit!Print_Area</vt:lpstr>
      <vt:lpstr>Decibels!Print_Area</vt:lpstr>
      <vt:lpstr>Lens!Print_Area</vt:lpstr>
      <vt:lpstr>'Ohms Law'!Print_Area</vt:lpstr>
      <vt:lpstr>'PJ Calc'!Print_Area</vt:lpstr>
      <vt:lpstr>'Room Mode'!Print_Area</vt:lpstr>
      <vt:lpstr>'RT60'!Print_Area</vt:lpstr>
      <vt:lpstr>Wavelength!Print_Area</vt:lpstr>
    </vt:vector>
  </TitlesOfParts>
  <Company>InfoComm</Company>
  <LinksUpToDate>false</LinksUpToDate>
  <SharedDoc>false</SharedDoc>
  <HyperlinkBase>http://www.infocomm.org/education</HyperlinkBase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AV Math</dc:title>
  <dc:subject>Audio Visual Math</dc:subject>
  <dc:creator>Paul Streffon</dc:creator>
  <cp:keywords>AV MATH Audio Video Visual Calculation</cp:keywords>
  <dc:description>Audio Visual math used for design and installation of audio and video systems</dc:description>
  <cp:lastModifiedBy>Pstreffon</cp:lastModifiedBy>
  <cp:lastPrinted>2009-04-02T19:45:09Z</cp:lastPrinted>
  <dcterms:created xsi:type="dcterms:W3CDTF">2008-10-24T17:47:09Z</dcterms:created>
  <dcterms:modified xsi:type="dcterms:W3CDTF">2013-05-28T20:45:30Z</dcterms:modified>
</cp:coreProperties>
</file>